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johanhendriks\Downloads\"/>
    </mc:Choice>
  </mc:AlternateContent>
  <xr:revisionPtr revIDLastSave="0" documentId="13_ncr:1_{70325003-4C08-476B-A897-508A09616713}"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2" i="63"/>
  <c r="C135" i="63"/>
  <c r="C133" i="63"/>
  <c r="C101" i="63"/>
  <c r="C132" i="63"/>
  <c r="D132" i="63" l="1"/>
  <c r="D133" i="63"/>
  <c r="D101" i="63"/>
  <c r="D102" i="63"/>
  <c r="A197" i="63"/>
  <c r="A165" i="63"/>
  <c r="A104" i="63"/>
  <c r="BA115" i="34"/>
  <c r="D135" i="63"/>
  <c r="A228" i="63"/>
  <c r="A260" i="63" s="1"/>
  <c r="A136" i="63"/>
  <c r="C196" i="63"/>
  <c r="C136" i="63"/>
  <c r="C260" i="63"/>
  <c r="C164" i="63"/>
  <c r="C103" i="63"/>
  <c r="D164" i="63" l="1"/>
  <c r="D196" i="63"/>
  <c r="D103" i="63"/>
  <c r="A166" i="63"/>
  <c r="A198" i="63"/>
  <c r="A229" i="63"/>
  <c r="A105" i="63"/>
  <c r="BA116" i="34"/>
  <c r="AB76" i="34"/>
  <c r="AB88" i="34" s="1"/>
  <c r="AB75" i="34"/>
  <c r="AB87" i="34" s="1"/>
  <c r="D136" i="63"/>
  <c r="D260" i="63"/>
  <c r="A261" i="63"/>
  <c r="A292" i="63"/>
  <c r="A230" i="63"/>
  <c r="A137" i="63"/>
  <c r="C104" i="63"/>
  <c r="C137" i="63"/>
  <c r="C292" i="63"/>
  <c r="C229" i="63"/>
  <c r="C165" i="63"/>
  <c r="C261" i="63"/>
  <c r="C197" i="63"/>
  <c r="C228" i="63"/>
  <c r="D104" i="63" l="1"/>
  <c r="D228" i="63"/>
  <c r="D197" i="63"/>
  <c r="D165" i="63"/>
  <c r="A106" i="63"/>
  <c r="A199" i="63"/>
  <c r="A167" i="63"/>
  <c r="BA117" i="34"/>
  <c r="AB77" i="34"/>
  <c r="AB89" i="34" s="1"/>
  <c r="D137" i="63"/>
  <c r="D292" i="63"/>
  <c r="D261" i="63"/>
  <c r="A324" i="63"/>
  <c r="A293" i="63"/>
  <c r="A262" i="63"/>
  <c r="D229" i="63"/>
  <c r="A231" i="63"/>
  <c r="A138" i="63"/>
  <c r="C230" i="63"/>
  <c r="C293" i="63"/>
  <c r="C198" i="63"/>
  <c r="C166" i="63"/>
  <c r="C262" i="63"/>
  <c r="C105" i="63"/>
  <c r="C324" i="63"/>
  <c r="C138" i="63"/>
  <c r="D105" i="63" l="1"/>
  <c r="D166" i="63"/>
  <c r="D198" i="63"/>
  <c r="A168" i="63"/>
  <c r="A107" i="63"/>
  <c r="A200" i="63"/>
  <c r="BA118" i="34"/>
  <c r="AB78" i="34"/>
  <c r="AB90" i="34" s="1"/>
  <c r="D138" i="63"/>
  <c r="D262" i="63"/>
  <c r="D293" i="63"/>
  <c r="D324" i="63"/>
  <c r="A263" i="63"/>
  <c r="A294" i="63"/>
  <c r="A325" i="63"/>
  <c r="A356" i="63"/>
  <c r="D230" i="63"/>
  <c r="A232" i="63"/>
  <c r="A139" i="63"/>
  <c r="C263" i="63"/>
  <c r="C106" i="63"/>
  <c r="C231" i="63"/>
  <c r="C199" i="63"/>
  <c r="C294" i="63"/>
  <c r="C356" i="63"/>
  <c r="C139" i="63"/>
  <c r="C325" i="63"/>
  <c r="C167"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57" i="63"/>
  <c r="C326" i="63"/>
  <c r="C168" i="63"/>
  <c r="C232" i="63"/>
  <c r="C140" i="63"/>
  <c r="C264" i="63"/>
  <c r="C200" i="63"/>
  <c r="C107" i="63"/>
  <c r="C388" i="63"/>
  <c r="C295"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69" i="63"/>
  <c r="C265" i="63"/>
  <c r="C296" i="63"/>
  <c r="C141" i="63"/>
  <c r="C108" i="63"/>
  <c r="C327" i="63"/>
  <c r="C201" i="63"/>
  <c r="C233" i="63"/>
  <c r="C389" i="63"/>
  <c r="C358"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97" i="63"/>
  <c r="C170" i="63"/>
  <c r="C266" i="63"/>
  <c r="C109" i="63"/>
  <c r="C359" i="63"/>
  <c r="C234" i="63"/>
  <c r="C142" i="63"/>
  <c r="C390" i="63"/>
  <c r="C202" i="63"/>
  <c r="C328" i="63"/>
  <c r="D109" i="63" l="1"/>
  <c r="D170" i="63"/>
  <c r="D202" i="63"/>
  <c r="A111" i="63"/>
  <c r="A204" i="63"/>
  <c r="AB96" i="34"/>
  <c r="A172" i="63"/>
  <c r="BA122" i="34"/>
  <c r="D297" i="63"/>
  <c r="D390" i="63"/>
  <c r="D328" i="63"/>
  <c r="D142" i="63"/>
  <c r="D359" i="63"/>
  <c r="D266" i="63"/>
  <c r="A298" i="63"/>
  <c r="A391" i="63"/>
  <c r="A329" i="63"/>
  <c r="A360" i="63"/>
  <c r="A267" i="63"/>
  <c r="D234" i="63"/>
  <c r="A236" i="63"/>
  <c r="A143" i="63"/>
  <c r="C329" i="63"/>
  <c r="C203" i="63"/>
  <c r="C267" i="63"/>
  <c r="C171" i="63"/>
  <c r="C110" i="63"/>
  <c r="C298" i="63"/>
  <c r="C143" i="63"/>
  <c r="C391" i="63"/>
  <c r="C360" i="63"/>
  <c r="C235"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392" i="63"/>
  <c r="C172" i="63"/>
  <c r="C361" i="63"/>
  <c r="C330" i="63"/>
  <c r="C299" i="63"/>
  <c r="C236" i="63"/>
  <c r="C204" i="63"/>
  <c r="C268"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237" i="63"/>
  <c r="C300" i="63"/>
  <c r="C205" i="63"/>
  <c r="C269" i="63"/>
  <c r="C145" i="63"/>
  <c r="C112" i="63"/>
  <c r="C173" i="63"/>
  <c r="C393" i="63"/>
  <c r="C331" i="63"/>
  <c r="C362" i="63"/>
  <c r="D205" i="63" l="1"/>
  <c r="D173" i="63"/>
  <c r="D112" i="63"/>
  <c r="A175" i="63"/>
  <c r="A114" i="63"/>
  <c r="A207" i="63"/>
  <c r="BA125" i="34"/>
  <c r="D362" i="63"/>
  <c r="D393" i="63"/>
  <c r="D269" i="63"/>
  <c r="D145" i="63"/>
  <c r="D331" i="63"/>
  <c r="D300" i="63"/>
  <c r="A363" i="63"/>
  <c r="A394" i="63"/>
  <c r="A270" i="63"/>
  <c r="A332" i="63"/>
  <c r="A301" i="63"/>
  <c r="D237" i="63"/>
  <c r="A239" i="63"/>
  <c r="A146" i="63"/>
  <c r="C363" i="63"/>
  <c r="C113" i="63"/>
  <c r="C332" i="63"/>
  <c r="C174" i="63"/>
  <c r="C394" i="63"/>
  <c r="C146" i="63"/>
  <c r="C238" i="63"/>
  <c r="C301" i="63"/>
  <c r="C206" i="63"/>
  <c r="C270" i="63"/>
  <c r="D206" i="63" l="1"/>
  <c r="D113" i="63"/>
  <c r="D174" i="63"/>
  <c r="A115" i="63"/>
  <c r="A176" i="63"/>
  <c r="A208" i="63"/>
  <c r="BA126" i="34"/>
  <c r="D363" i="63"/>
  <c r="D146" i="63"/>
  <c r="D301" i="63"/>
  <c r="D332" i="63"/>
  <c r="D270" i="63"/>
  <c r="D394" i="63"/>
  <c r="A364" i="63"/>
  <c r="A302" i="63"/>
  <c r="A333" i="63"/>
  <c r="A271" i="63"/>
  <c r="A395" i="63"/>
  <c r="D238" i="63"/>
  <c r="A240" i="63"/>
  <c r="A147" i="63"/>
  <c r="A7" i="63"/>
  <c r="C364" i="63"/>
  <c r="C207" i="63"/>
  <c r="C147" i="63"/>
  <c r="C239" i="63"/>
  <c r="C175" i="63"/>
  <c r="C302" i="63"/>
  <c r="C333" i="63"/>
  <c r="C271" i="63"/>
  <c r="C395" i="63"/>
  <c r="C114"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76" i="63"/>
  <c r="C148" i="63"/>
  <c r="C115" i="63"/>
  <c r="C208" i="63"/>
  <c r="C303" i="63"/>
  <c r="C240" i="63"/>
  <c r="C272" i="63"/>
  <c r="C334" i="63"/>
  <c r="C365" i="63"/>
  <c r="C396" i="63"/>
  <c r="D115" i="63" l="1"/>
  <c r="D176" i="63"/>
  <c r="D208" i="63"/>
  <c r="A210" i="63"/>
  <c r="A117" i="63"/>
  <c r="A178" i="63"/>
  <c r="BA128" i="34"/>
  <c r="D334" i="63"/>
  <c r="D148" i="63"/>
  <c r="D303" i="63"/>
  <c r="D272" i="63"/>
  <c r="D365" i="63"/>
  <c r="D396" i="63"/>
  <c r="A335" i="63"/>
  <c r="A304" i="63"/>
  <c r="A273" i="63"/>
  <c r="A366" i="63"/>
  <c r="A397" i="63"/>
  <c r="D240" i="63"/>
  <c r="A242" i="63"/>
  <c r="A149" i="63"/>
  <c r="C177" i="63"/>
  <c r="C149" i="63"/>
  <c r="C335" i="63"/>
  <c r="C366" i="63"/>
  <c r="C209" i="63"/>
  <c r="C273" i="63"/>
  <c r="C116" i="63"/>
  <c r="C397" i="63"/>
  <c r="C241" i="63"/>
  <c r="C304"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67" i="63"/>
  <c r="C242" i="63"/>
  <c r="C210" i="63"/>
  <c r="C117" i="63"/>
  <c r="C274" i="63"/>
  <c r="C150" i="63"/>
  <c r="C178" i="63"/>
  <c r="C336" i="63"/>
  <c r="C305" i="63"/>
  <c r="C398"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99" i="63"/>
  <c r="C151" i="63"/>
  <c r="C118" i="63"/>
  <c r="C211" i="63"/>
  <c r="C179" i="63"/>
  <c r="C337" i="63"/>
  <c r="C368" i="63"/>
  <c r="C275" i="63"/>
  <c r="C243" i="63"/>
  <c r="C306"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212" i="63"/>
  <c r="C369" i="63"/>
  <c r="C400" i="63"/>
  <c r="C244" i="63"/>
  <c r="C338" i="63"/>
  <c r="C180" i="63"/>
  <c r="C152" i="63"/>
  <c r="C119"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53" i="63"/>
  <c r="C245" i="63"/>
  <c r="C308" i="63"/>
  <c r="C370" i="63"/>
  <c r="C277" i="63"/>
  <c r="C181" i="63"/>
  <c r="C401" i="63"/>
  <c r="C213" i="63"/>
  <c r="C120" i="63"/>
  <c r="C339"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402" i="63"/>
  <c r="C246" i="63"/>
  <c r="C214" i="63"/>
  <c r="C182" i="63"/>
  <c r="C154" i="63"/>
  <c r="C340" i="63"/>
  <c r="C121" i="63"/>
  <c r="C371" i="63"/>
  <c r="C278" i="63"/>
  <c r="C309"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72" i="63"/>
  <c r="C183" i="63"/>
  <c r="C310" i="63"/>
  <c r="C215" i="63"/>
  <c r="C247" i="63"/>
  <c r="C122" i="63"/>
  <c r="C279" i="63"/>
  <c r="C403" i="63"/>
  <c r="C341" i="63"/>
  <c r="C155"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11" i="63"/>
  <c r="C156" i="63"/>
  <c r="C184" i="63"/>
  <c r="C280" i="63"/>
  <c r="C342" i="63"/>
  <c r="C123" i="63"/>
  <c r="C248" i="63"/>
  <c r="C373" i="63"/>
  <c r="C404" i="63"/>
  <c r="C21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405" i="63"/>
  <c r="C281" i="63"/>
  <c r="C374" i="63"/>
  <c r="C124" i="63"/>
  <c r="C185" i="63"/>
  <c r="C249" i="63"/>
  <c r="C217" i="63"/>
  <c r="C312" i="63"/>
  <c r="C343" i="63"/>
  <c r="C157"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58" i="63"/>
  <c r="C125" i="63"/>
  <c r="C218" i="63"/>
  <c r="C375" i="63"/>
  <c r="C344" i="63"/>
  <c r="C186" i="63"/>
  <c r="C250" i="63"/>
  <c r="C406" i="63"/>
  <c r="C282" i="63"/>
  <c r="C313" i="63"/>
  <c r="D186" i="63" l="1"/>
  <c r="D125" i="63"/>
  <c r="D218" i="63"/>
  <c r="A220" i="63"/>
  <c r="A188" i="63"/>
  <c r="A127" i="63"/>
  <c r="D406" i="63"/>
  <c r="D313" i="63"/>
  <c r="D344" i="63"/>
  <c r="D282" i="63"/>
  <c r="D158" i="63"/>
  <c r="D375" i="63"/>
  <c r="A407" i="63"/>
  <c r="A314" i="63"/>
  <c r="A345" i="63"/>
  <c r="A283" i="63"/>
  <c r="A376" i="63"/>
  <c r="D250" i="63"/>
  <c r="A252" i="63"/>
  <c r="A159" i="63"/>
  <c r="C219" i="63"/>
  <c r="C159" i="63"/>
  <c r="C126" i="63"/>
  <c r="C251" i="63"/>
  <c r="C314" i="63"/>
  <c r="C283" i="63"/>
  <c r="C187" i="63"/>
  <c r="C407" i="63"/>
  <c r="C376" i="63"/>
  <c r="C345" i="63"/>
  <c r="D219" i="63" l="1"/>
  <c r="D126" i="63"/>
  <c r="D187" i="63"/>
  <c r="A221" i="63"/>
  <c r="A128" i="63"/>
  <c r="A189" i="63"/>
  <c r="D407" i="63"/>
  <c r="D314" i="63"/>
  <c r="D159" i="63"/>
  <c r="D376" i="63"/>
  <c r="D283" i="63"/>
  <c r="D345" i="63"/>
  <c r="A408" i="63"/>
  <c r="A315" i="63"/>
  <c r="A377" i="63"/>
  <c r="A284" i="63"/>
  <c r="A346" i="63"/>
  <c r="D251" i="63"/>
  <c r="A253" i="63"/>
  <c r="A160" i="63"/>
  <c r="C252" i="63"/>
  <c r="C220" i="63"/>
  <c r="C315" i="63"/>
  <c r="C408" i="63"/>
  <c r="C160" i="63"/>
  <c r="C127" i="63"/>
  <c r="C284" i="63"/>
  <c r="C346" i="63"/>
  <c r="C377" i="63"/>
  <c r="C188" i="63"/>
  <c r="D188" i="63" l="1"/>
  <c r="D127" i="63"/>
  <c r="D220" i="63"/>
  <c r="A129" i="63"/>
  <c r="A222" i="63"/>
  <c r="A190" i="63"/>
  <c r="D346" i="63"/>
  <c r="D284" i="63"/>
  <c r="D315" i="63"/>
  <c r="D408" i="63"/>
  <c r="D160" i="63"/>
  <c r="D377" i="63"/>
  <c r="A347" i="63"/>
  <c r="A285" i="63"/>
  <c r="A316" i="63"/>
  <c r="A409" i="63"/>
  <c r="A378" i="63"/>
  <c r="D252" i="63"/>
  <c r="A254" i="63"/>
  <c r="A161" i="63"/>
  <c r="C347" i="63"/>
  <c r="C378" i="63"/>
  <c r="C161" i="63"/>
  <c r="C128" i="63"/>
  <c r="C221" i="63"/>
  <c r="C409" i="63"/>
  <c r="C253" i="63"/>
  <c r="C189" i="63"/>
  <c r="C316" i="63"/>
  <c r="C285" i="63"/>
  <c r="D189" i="63" l="1"/>
  <c r="D221" i="63"/>
  <c r="D128" i="63"/>
  <c r="A223" i="63"/>
  <c r="A130" i="63"/>
  <c r="A191" i="63"/>
  <c r="D347" i="63"/>
  <c r="D285" i="63"/>
  <c r="D316" i="63"/>
  <c r="D161" i="63"/>
  <c r="D378" i="63"/>
  <c r="D409" i="63"/>
  <c r="A348" i="63"/>
  <c r="A286" i="63"/>
  <c r="A317" i="63"/>
  <c r="A379" i="63"/>
  <c r="A410" i="63"/>
  <c r="D253" i="63"/>
  <c r="A255" i="63"/>
  <c r="A162" i="63"/>
  <c r="C254" i="63"/>
  <c r="C286" i="63"/>
  <c r="C222" i="63"/>
  <c r="C317" i="63"/>
  <c r="C348" i="63"/>
  <c r="C162" i="63"/>
  <c r="C190" i="63"/>
  <c r="C379" i="63"/>
  <c r="C129" i="63"/>
  <c r="C41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87" i="63"/>
  <c r="C163" i="63"/>
  <c r="C255" i="63"/>
  <c r="C380" i="63"/>
  <c r="C411" i="63"/>
  <c r="C223" i="63"/>
  <c r="C318" i="63"/>
  <c r="C130" i="63"/>
  <c r="C131" i="63"/>
  <c r="C191" i="63"/>
  <c r="C349"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24" i="63"/>
  <c r="C412" i="63"/>
  <c r="C256" i="63"/>
  <c r="C381" i="63"/>
  <c r="C350" i="63"/>
  <c r="C288" i="63"/>
  <c r="C192" i="63"/>
  <c r="C319"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82" i="63"/>
  <c r="C257" i="63"/>
  <c r="C413" i="63"/>
  <c r="C225" i="63"/>
  <c r="C193" i="63"/>
  <c r="C320" i="63"/>
  <c r="C351" i="63"/>
  <c r="C289"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27" i="63"/>
  <c r="C352" i="63"/>
  <c r="C258" i="63"/>
  <c r="C194" i="63"/>
  <c r="C290" i="63"/>
  <c r="C414" i="63"/>
  <c r="C383" i="63"/>
  <c r="C321" i="63"/>
  <c r="C226" i="63"/>
  <c r="C195"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259" i="63"/>
  <c r="C415" i="63"/>
  <c r="C322" i="63"/>
  <c r="C384" i="63"/>
  <c r="C291"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Z68" i="39"/>
  <c r="Z69" i="39"/>
  <c r="AU12" i="39"/>
  <c r="AT12" i="39"/>
  <c r="AS15" i="39"/>
  <c r="AT15" i="39"/>
  <c r="AS14" i="39"/>
  <c r="AS67" i="39"/>
  <c r="AT68" i="39"/>
  <c r="AU67" i="39"/>
  <c r="AT69" i="39"/>
  <c r="AV67" i="39"/>
  <c r="AS68" i="39"/>
  <c r="AF68" i="39"/>
  <c r="AV66" i="39"/>
  <c r="AS69" i="39"/>
  <c r="AF69" i="39"/>
  <c r="AU66" i="39"/>
  <c r="AF71" i="39"/>
  <c r="AT66" i="39"/>
  <c r="AF70" i="39"/>
  <c r="M71" i="29"/>
  <c r="C416" i="63"/>
  <c r="C323" i="63"/>
  <c r="C385" i="63"/>
  <c r="C354" i="63"/>
  <c r="AU60" i="39" l="1"/>
  <c r="AD70" i="39"/>
  <c r="AT39" i="39"/>
  <c r="Z70" i="39"/>
  <c r="Z71" i="39"/>
  <c r="AV13" i="39"/>
  <c r="AY15" i="39" s="1"/>
  <c r="AT14" i="39"/>
  <c r="AY13" i="39" s="1"/>
  <c r="AB40" i="34"/>
  <c r="AS40" i="39"/>
  <c r="AS13" i="39"/>
  <c r="AY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X12" i="39"/>
  <c r="AY14" i="39"/>
  <c r="AW68" i="39"/>
  <c r="AX68" i="39"/>
  <c r="AX66" i="39"/>
  <c r="AW66" i="39"/>
  <c r="AY67" i="39"/>
  <c r="AY68" i="39"/>
  <c r="AX69" i="39"/>
  <c r="AW69" i="39"/>
  <c r="AY69" i="39"/>
  <c r="AY66" i="39"/>
  <c r="AX67" i="39"/>
  <c r="AW67" i="39"/>
  <c r="Y63" i="34"/>
  <c r="O48" i="46"/>
  <c r="H52" i="46" s="1"/>
  <c r="R62" i="25"/>
  <c r="S65" i="25" s="1"/>
  <c r="M86" i="41"/>
  <c r="V72" i="39"/>
  <c r="C417" i="63"/>
  <c r="C355" i="63"/>
  <c r="C386" i="63"/>
  <c r="AW12" i="39" l="1"/>
  <c r="AW13" i="39"/>
  <c r="AX13" i="39"/>
  <c r="AX14" i="39"/>
  <c r="AW14" i="39"/>
  <c r="AW15"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22" i="60"/>
  <c r="B40" i="60"/>
  <c r="B17" i="60"/>
  <c r="B25" i="60"/>
  <c r="B31" i="60"/>
  <c r="B7" i="60"/>
  <c r="B10" i="60"/>
  <c r="B19" i="60"/>
  <c r="B47" i="60"/>
  <c r="B24" i="60"/>
  <c r="B18" i="60"/>
  <c r="B44" i="60"/>
  <c r="B48" i="60"/>
  <c r="B38" i="60"/>
  <c r="B56" i="60"/>
  <c r="B21" i="60"/>
  <c r="B6" i="60"/>
  <c r="B41" i="60"/>
  <c r="B27" i="60"/>
  <c r="B20" i="60"/>
  <c r="B49" i="60"/>
  <c r="B16" i="60"/>
  <c r="B15" i="60"/>
  <c r="B36" i="60"/>
  <c r="B28" i="60"/>
  <c r="B39" i="60"/>
  <c r="B52" i="60"/>
  <c r="B55" i="60"/>
  <c r="B46" i="60"/>
  <c r="B32" i="60"/>
  <c r="B51" i="60"/>
  <c r="B30" i="60"/>
  <c r="B42" i="60"/>
  <c r="B37" i="60"/>
  <c r="B50" i="60"/>
  <c r="B23" i="60"/>
  <c r="B26" i="60"/>
  <c r="B45" i="60"/>
  <c r="B43" i="60"/>
  <c r="B8" i="60"/>
  <c r="B33" i="60"/>
  <c r="B9" i="60"/>
  <c r="B53" i="60"/>
  <c r="B29" i="60"/>
  <c r="B54" i="60"/>
  <c r="U2" i="64" l="1"/>
  <c r="C1" i="62"/>
  <c r="C2" i="62" s="1"/>
  <c r="C1" i="63"/>
  <c r="C2" i="63" s="1"/>
  <c r="C1" i="61"/>
  <c r="D13" i="64" l="1"/>
  <c r="T10" i="64"/>
  <c r="T9" i="64"/>
  <c r="K44" i="38"/>
  <c r="V50" i="38" s="1"/>
  <c r="D44" i="38"/>
  <c r="V45" i="38" s="1"/>
  <c r="V48" i="38" s="1"/>
  <c r="C2" i="61"/>
  <c r="Q72" i="25"/>
  <c r="T8" i="64" a="1"/>
  <c r="T7" i="64" a="1"/>
  <c r="I133" i="46" l="1"/>
  <c r="T8" i="64"/>
  <c r="T7" i="64"/>
  <c r="V46" i="38"/>
  <c r="V47" i="38"/>
  <c r="V49" i="38"/>
  <c r="AA49" i="38" s="1"/>
  <c r="X45" i="38"/>
  <c r="V54" i="38"/>
  <c r="U54" i="38" s="1"/>
  <c r="V53" i="38"/>
  <c r="AA53" i="38" s="1"/>
  <c r="V52" i="38"/>
  <c r="V51" i="38"/>
  <c r="T2" i="46"/>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54" i="63"/>
  <c r="B21" i="61"/>
  <c r="B91" i="62"/>
  <c r="B165" i="62"/>
  <c r="B180" i="61"/>
  <c r="B105" i="62"/>
  <c r="B50" i="62"/>
  <c r="B93" i="62"/>
  <c r="B197" i="62"/>
  <c r="B100" i="61"/>
  <c r="B9" i="61"/>
  <c r="B7" i="61"/>
  <c r="B130" i="62"/>
  <c r="B109" i="62"/>
  <c r="B6" i="62"/>
  <c r="B186" i="62"/>
  <c r="B56" i="61"/>
  <c r="B49" i="61"/>
  <c r="B111" i="61"/>
  <c r="B144" i="61"/>
  <c r="B12" i="62"/>
  <c r="B12" i="61"/>
  <c r="B30" i="62"/>
  <c r="B193" i="62"/>
  <c r="B63" i="63"/>
  <c r="B75" i="63"/>
  <c r="B102" i="62"/>
  <c r="B231" i="62"/>
  <c r="B182" i="61"/>
  <c r="B18" i="61"/>
  <c r="B37" i="61"/>
  <c r="B248" i="62"/>
  <c r="B111" i="62"/>
  <c r="B140" i="61"/>
  <c r="B66" i="62"/>
  <c r="B173" i="62"/>
  <c r="B228" i="62"/>
  <c r="B271" i="62"/>
  <c r="B35" i="63"/>
  <c r="B245" i="62"/>
  <c r="B74" i="61"/>
  <c r="B57" i="61"/>
  <c r="B41" i="62"/>
  <c r="B67" i="61"/>
  <c r="B120" i="62"/>
  <c r="B28" i="63"/>
  <c r="B121" i="62"/>
  <c r="B254" i="62"/>
  <c r="B160" i="61"/>
  <c r="B9" i="62"/>
  <c r="B61" i="61"/>
  <c r="B22" i="63"/>
  <c r="B155" i="61"/>
  <c r="B143" i="62"/>
  <c r="B80" i="63"/>
  <c r="B161" i="61"/>
  <c r="B169" i="62"/>
  <c r="B73" i="62"/>
  <c r="B42" i="63"/>
  <c r="B194" i="62"/>
  <c r="B81" i="61"/>
  <c r="B212" i="62"/>
  <c r="B229" i="62"/>
  <c r="B45" i="61"/>
  <c r="B72" i="63"/>
  <c r="B125" i="61"/>
  <c r="B68" i="61"/>
  <c r="B29" i="62"/>
  <c r="B195" i="61"/>
  <c r="B48" i="62"/>
  <c r="B21" i="62"/>
  <c r="B189" i="62"/>
  <c r="B267" i="62"/>
  <c r="B168" i="62"/>
  <c r="B240" i="62"/>
  <c r="B71" i="62"/>
  <c r="B55" i="63"/>
  <c r="B176" i="62"/>
  <c r="B53" i="62"/>
  <c r="B241" i="62"/>
  <c r="B44" i="63"/>
  <c r="B202" i="62"/>
  <c r="B103" i="62"/>
  <c r="B135" i="61"/>
  <c r="B60" i="63"/>
  <c r="B227" i="62"/>
  <c r="B21" i="63"/>
  <c r="B75" i="62"/>
  <c r="B139" i="62"/>
  <c r="B94" i="61"/>
  <c r="B36" i="63"/>
  <c r="B41" i="61"/>
  <c r="B237" i="62"/>
  <c r="B79" i="63"/>
  <c r="B185" i="62"/>
  <c r="B151" i="61"/>
  <c r="B47" i="62"/>
  <c r="B67" i="63"/>
  <c r="B145" i="61"/>
  <c r="B39" i="63"/>
  <c r="B137" i="61"/>
  <c r="B46" i="62"/>
  <c r="B71" i="63"/>
  <c r="B61" i="62"/>
  <c r="B210" i="62"/>
  <c r="B175" i="62"/>
  <c r="B43" i="61"/>
  <c r="B162" i="62"/>
  <c r="B238" i="62"/>
  <c r="B143" i="61"/>
  <c r="B183" i="62"/>
  <c r="B114" i="62"/>
  <c r="B127" i="61"/>
  <c r="B268" i="62"/>
  <c r="B13" i="61"/>
  <c r="B152" i="61"/>
  <c r="B263" i="62"/>
  <c r="B25" i="61"/>
  <c r="B269" i="62"/>
  <c r="B56" i="62"/>
  <c r="B114" i="61"/>
  <c r="B181" i="62"/>
  <c r="B22" i="61"/>
  <c r="B236" i="62"/>
  <c r="B70" i="61"/>
  <c r="B119" i="62"/>
  <c r="B182" i="62"/>
  <c r="B129" i="61"/>
  <c r="B131" i="61"/>
  <c r="B75" i="61"/>
  <c r="B12" i="63"/>
  <c r="B137" i="62"/>
  <c r="B247" i="62"/>
  <c r="B92" i="62"/>
  <c r="B120" i="61"/>
  <c r="B116" i="62"/>
  <c r="B32" i="62"/>
  <c r="B179" i="62"/>
  <c r="B16" i="62"/>
  <c r="B219" i="62"/>
  <c r="B62" i="61"/>
  <c r="B183" i="61"/>
  <c r="B172" i="62"/>
  <c r="B52" i="63"/>
  <c r="B249" i="62"/>
  <c r="B10" i="62"/>
  <c r="B132" i="61"/>
  <c r="B214" i="62"/>
  <c r="B73" i="63"/>
  <c r="B215" i="62"/>
  <c r="B164" i="61"/>
  <c r="B131" i="62"/>
  <c r="B130" i="61"/>
  <c r="B31" i="62"/>
  <c r="B33" i="62"/>
  <c r="B242" i="62"/>
  <c r="B128" i="61"/>
  <c r="B10" i="63"/>
  <c r="B199" i="62"/>
  <c r="B129" i="62"/>
  <c r="B27" i="62"/>
  <c r="B167" i="62"/>
  <c r="B150" i="62"/>
  <c r="B23" i="62"/>
  <c r="B181" i="61"/>
  <c r="B233" i="62"/>
  <c r="B177" i="61"/>
  <c r="B96" i="62"/>
  <c r="B122" i="62"/>
  <c r="B152" i="62"/>
  <c r="B252" i="62"/>
  <c r="B168" i="61"/>
  <c r="B108" i="62"/>
  <c r="B97" i="61"/>
  <c r="B20" i="62"/>
  <c r="B27" i="61"/>
  <c r="B66" i="61"/>
  <c r="B59" i="63"/>
  <c r="B77" i="63"/>
  <c r="B203" i="62"/>
  <c r="B82" i="63"/>
  <c r="B91" i="61"/>
  <c r="B90" i="62"/>
  <c r="B24" i="62"/>
  <c r="B159" i="61"/>
  <c r="B20" i="61"/>
  <c r="B150" i="61"/>
  <c r="B26" i="62"/>
  <c r="B244" i="62"/>
  <c r="B8" i="61"/>
  <c r="B218" i="62"/>
  <c r="B139" i="61"/>
  <c r="B38" i="63"/>
  <c r="B50" i="61"/>
  <c r="B85" i="62"/>
  <c r="B260" i="62"/>
  <c r="B10" i="61"/>
  <c r="B102" i="61"/>
  <c r="B207" i="62"/>
  <c r="B80" i="62"/>
  <c r="B70" i="62"/>
  <c r="B43" i="62"/>
  <c r="B142" i="61"/>
  <c r="B187" i="62"/>
  <c r="B82" i="61"/>
  <c r="B34" i="62"/>
  <c r="B65" i="62"/>
  <c r="B95" i="61"/>
  <c r="B98" i="61"/>
  <c r="B126" i="61"/>
  <c r="B110" i="62"/>
  <c r="B184" i="62"/>
  <c r="B112" i="62"/>
  <c r="B211" i="62"/>
  <c r="B31" i="63"/>
  <c r="B235" i="62"/>
  <c r="B14" i="63"/>
  <c r="B79" i="61"/>
  <c r="B113" i="62"/>
  <c r="B98" i="62"/>
  <c r="B11" i="61"/>
  <c r="B40" i="61"/>
  <c r="B147" i="61"/>
  <c r="B23" i="63"/>
  <c r="B83" i="62"/>
  <c r="B170" i="61"/>
  <c r="B60" i="61"/>
  <c r="B204" i="62"/>
  <c r="B89" i="61"/>
  <c r="B45" i="62"/>
  <c r="B119" i="61"/>
  <c r="B60" i="62"/>
  <c r="B87" i="61"/>
  <c r="B7" i="62"/>
  <c r="B82" i="62"/>
  <c r="B176" i="61"/>
  <c r="B40" i="63"/>
  <c r="B84" i="62"/>
  <c r="B69" i="63"/>
  <c r="B51" i="62"/>
  <c r="B189" i="61"/>
  <c r="B225" i="62"/>
  <c r="B6" i="63"/>
  <c r="B17" i="61"/>
  <c r="B133" i="62"/>
  <c r="B198" i="62"/>
  <c r="B14" i="61"/>
  <c r="B261" i="62"/>
  <c r="B187" i="61"/>
  <c r="B86" i="62"/>
  <c r="B107" i="62"/>
  <c r="B118" i="62"/>
  <c r="B72" i="62"/>
  <c r="B162" i="61"/>
  <c r="B101" i="61"/>
  <c r="B8" i="63"/>
  <c r="B19" i="61"/>
  <c r="B58" i="61"/>
  <c r="B22" i="62"/>
  <c r="B90" i="61"/>
  <c r="B163" i="61"/>
  <c r="B153" i="62"/>
  <c r="B194" i="61"/>
  <c r="B16" i="61"/>
  <c r="B39" i="61"/>
  <c r="B201" i="62"/>
  <c r="B61" i="63"/>
  <c r="B64" i="62"/>
  <c r="B34" i="63"/>
  <c r="B65" i="61"/>
  <c r="B81" i="63"/>
  <c r="B213" i="62"/>
  <c r="B88" i="61"/>
  <c r="B167" i="61"/>
  <c r="B243" i="62"/>
  <c r="B246" i="62"/>
  <c r="B53" i="63"/>
  <c r="B24" i="63"/>
  <c r="B25" i="62"/>
  <c r="B151" i="62"/>
  <c r="B15" i="62"/>
  <c r="B37" i="63"/>
  <c r="B51" i="61"/>
  <c r="B99" i="61"/>
  <c r="B101" i="62"/>
  <c r="B92" i="61"/>
  <c r="B124" i="62"/>
  <c r="B117" i="61"/>
  <c r="B142" i="62"/>
  <c r="B78" i="63"/>
  <c r="B190" i="62"/>
  <c r="B117" i="62"/>
  <c r="B68" i="63"/>
  <c r="B58" i="62"/>
  <c r="B166" i="61"/>
  <c r="B209" i="62"/>
  <c r="B55" i="61"/>
  <c r="B191" i="62"/>
  <c r="B141" i="62"/>
  <c r="B178" i="61"/>
  <c r="B239" i="62"/>
  <c r="B115" i="62"/>
  <c r="B32" i="63"/>
  <c r="B126" i="62"/>
  <c r="B33" i="63"/>
  <c r="B44" i="62"/>
  <c r="B180" i="62"/>
  <c r="B77" i="62"/>
  <c r="B54" i="61"/>
  <c r="B172" i="61"/>
  <c r="B188" i="61"/>
  <c r="B224" i="62"/>
  <c r="B174" i="62"/>
  <c r="B169" i="61"/>
  <c r="B115" i="61"/>
  <c r="B59" i="61"/>
  <c r="B118" i="61"/>
  <c r="B104" i="61"/>
  <c r="B113" i="61"/>
  <c r="B128" i="62"/>
  <c r="B63" i="61"/>
  <c r="B51" i="63"/>
  <c r="B106" i="61"/>
  <c r="B109" i="61"/>
  <c r="B208" i="62"/>
  <c r="B30" i="63"/>
  <c r="B45" i="63"/>
  <c r="B220" i="62"/>
  <c r="B65" i="63"/>
  <c r="B18" i="63"/>
  <c r="B106" i="62"/>
  <c r="B76" i="63"/>
  <c r="B74" i="62"/>
  <c r="B78" i="62"/>
  <c r="B46" i="61"/>
  <c r="B58" i="63"/>
  <c r="B99" i="62"/>
  <c r="B174" i="61"/>
  <c r="B62" i="62"/>
  <c r="B15" i="63"/>
  <c r="B29" i="63"/>
  <c r="B163" i="62"/>
  <c r="B266" i="62"/>
  <c r="B116" i="61"/>
  <c r="B26" i="61"/>
  <c r="B28" i="62"/>
  <c r="B127" i="62"/>
  <c r="B19" i="63"/>
  <c r="B104" i="62"/>
  <c r="B28" i="61"/>
  <c r="B230" i="62"/>
  <c r="B48" i="63"/>
  <c r="B42" i="62"/>
  <c r="B36" i="61"/>
  <c r="B57" i="63"/>
  <c r="B175" i="61"/>
  <c r="B36" i="62"/>
  <c r="B23" i="61"/>
  <c r="B253" i="62"/>
  <c r="B8" i="62"/>
  <c r="B68" i="62"/>
  <c r="B13" i="63"/>
  <c r="B96" i="61"/>
  <c r="B44" i="61"/>
  <c r="B264" i="62"/>
  <c r="B17" i="62"/>
  <c r="B14" i="62"/>
  <c r="B100" i="62"/>
  <c r="B262" i="62"/>
  <c r="B192" i="62"/>
  <c r="B193" i="61"/>
  <c r="B223" i="62"/>
  <c r="B103" i="61"/>
  <c r="B165" i="61"/>
  <c r="B134" i="62"/>
  <c r="B93" i="61"/>
  <c r="B149" i="62"/>
  <c r="B110" i="61"/>
  <c r="B141" i="61"/>
  <c r="B259" i="62"/>
  <c r="B178" i="62"/>
  <c r="B69" i="62"/>
  <c r="B43" i="63"/>
  <c r="B57" i="62"/>
  <c r="B49" i="62"/>
  <c r="B138" i="62"/>
  <c r="B26" i="63"/>
  <c r="B64" i="63"/>
  <c r="B73" i="61"/>
  <c r="B133" i="61"/>
  <c r="B251" i="62"/>
  <c r="B195" i="62"/>
  <c r="B15" i="61"/>
  <c r="B83" i="61"/>
  <c r="B138" i="61"/>
  <c r="B170" i="62"/>
  <c r="B6" i="61"/>
  <c r="B140" i="62"/>
  <c r="B70" i="63"/>
  <c r="B160" i="62"/>
  <c r="B67" i="62"/>
  <c r="B20" i="63"/>
  <c r="B69" i="61"/>
  <c r="B173" i="61"/>
  <c r="B146" i="62"/>
  <c r="B221" i="62"/>
  <c r="B136" i="61"/>
  <c r="B192" i="61"/>
  <c r="B156" i="62"/>
  <c r="B217" i="62"/>
  <c r="B87" i="62"/>
  <c r="B25" i="63"/>
  <c r="B166" i="62"/>
  <c r="B232" i="62"/>
  <c r="B27" i="63"/>
  <c r="B257" i="62"/>
  <c r="B76" i="62"/>
  <c r="B256" i="62"/>
  <c r="B89" i="62"/>
  <c r="B250" i="62"/>
  <c r="B29" i="61"/>
  <c r="B64" i="61"/>
  <c r="B153" i="61"/>
  <c r="B205" i="62"/>
  <c r="B56" i="63"/>
  <c r="B136" i="62"/>
  <c r="B11" i="62"/>
  <c r="B11" i="63"/>
  <c r="B35" i="61"/>
  <c r="B125" i="62"/>
  <c r="B66" i="63"/>
  <c r="B41" i="63"/>
  <c r="B206" i="62"/>
  <c r="B222" i="62"/>
  <c r="B95" i="62"/>
  <c r="B74" i="63"/>
  <c r="B17" i="63"/>
  <c r="B7" i="63"/>
  <c r="B59" i="62"/>
  <c r="B186" i="61"/>
  <c r="B54" i="62"/>
  <c r="B105" i="61"/>
  <c r="B258" i="62"/>
  <c r="B265" i="62"/>
  <c r="B155" i="62"/>
  <c r="B94" i="62"/>
  <c r="B191" i="61"/>
  <c r="B179" i="61"/>
  <c r="B97" i="62"/>
  <c r="B9" i="63"/>
  <c r="B55" i="62"/>
  <c r="B184" i="61"/>
  <c r="B38" i="61"/>
  <c r="B177" i="62"/>
  <c r="B62" i="63"/>
  <c r="B88" i="62"/>
  <c r="B196" i="62"/>
  <c r="B112" i="61"/>
  <c r="B200" i="62"/>
  <c r="B146" i="61"/>
  <c r="B84" i="61"/>
  <c r="B216" i="62"/>
  <c r="B134" i="61"/>
  <c r="B190" i="61"/>
  <c r="B226" i="62"/>
  <c r="B159" i="62"/>
  <c r="B80" i="61"/>
  <c r="B185" i="61"/>
  <c r="B147" i="62"/>
  <c r="B154" i="62"/>
  <c r="B52" i="62"/>
  <c r="B76" i="61"/>
  <c r="B42" i="61"/>
  <c r="B35" i="62"/>
  <c r="B171" i="62"/>
  <c r="B270" i="62"/>
  <c r="B164" i="62"/>
  <c r="B16" i="63"/>
  <c r="B255" i="62"/>
  <c r="B148" i="62"/>
  <c r="B132" i="62"/>
  <c r="B24" i="61"/>
  <c r="B135" i="62"/>
  <c r="B188" i="62"/>
  <c r="B171" i="61"/>
  <c r="D79" i="46" l="1"/>
  <c r="M49" i="25"/>
  <c r="AB73" i="46"/>
  <c r="AB82" i="46"/>
  <c r="AC7" i="34"/>
  <c r="T10" i="38"/>
  <c r="R112" i="29"/>
  <c r="D3" i="46"/>
  <c r="D36" i="46"/>
  <c r="D113" i="46"/>
  <c r="D104" i="46"/>
  <c r="D90" i="46"/>
  <c r="D86" i="46"/>
  <c r="B121" i="46" s="1"/>
  <c r="R108" i="29"/>
  <c r="D13" i="38"/>
  <c r="Y69" i="25"/>
  <c r="S12" i="64"/>
  <c r="AO9" i="38"/>
  <c r="Y67" i="25"/>
  <c r="AQ14" i="34" s="1"/>
  <c r="Y75" i="25"/>
  <c r="D109" i="46"/>
  <c r="D95" i="46"/>
  <c r="P55" i="25"/>
  <c r="R105" i="29"/>
  <c r="J49" i="25"/>
  <c r="D94" i="46"/>
  <c r="B122" i="46" s="1"/>
  <c r="D24" i="29"/>
  <c r="O18" i="34"/>
  <c r="O24" i="34"/>
  <c r="O26" i="34"/>
  <c r="O20" i="34"/>
  <c r="Y83" i="25"/>
  <c r="R129" i="46"/>
  <c r="AB75" i="46"/>
  <c r="Y82" i="25"/>
  <c r="D105" i="46"/>
  <c r="D108" i="46"/>
  <c r="B124" i="46" s="1"/>
  <c r="Y78" i="25"/>
  <c r="D5" i="46"/>
  <c r="AB81" i="46"/>
  <c r="J55" i="25"/>
  <c r="D19" i="39"/>
  <c r="G9" i="38"/>
  <c r="Y96" i="25"/>
  <c r="L9" i="34"/>
  <c r="D70" i="46"/>
  <c r="B119" i="46" s="1"/>
  <c r="D110" i="46"/>
  <c r="D83" i="46"/>
  <c r="D6" i="39"/>
  <c r="M55" i="64"/>
  <c r="M78" i="64"/>
  <c r="M50" i="64"/>
  <c r="M66" i="64"/>
  <c r="M15" i="64"/>
  <c r="M114" i="64"/>
  <c r="M40" i="64"/>
  <c r="M120" i="64"/>
  <c r="M20" i="64"/>
  <c r="M108" i="64"/>
  <c r="M30" i="64"/>
  <c r="M60" i="64"/>
  <c r="M72" i="64"/>
  <c r="M45" i="64"/>
  <c r="M90" i="64"/>
  <c r="M84" i="64"/>
  <c r="M25" i="64"/>
  <c r="M35" i="64"/>
  <c r="M102" i="64"/>
  <c r="M96" i="64"/>
  <c r="R114" i="29"/>
  <c r="Y72" i="25"/>
  <c r="AC8" i="34"/>
  <c r="T11" i="38"/>
  <c r="R106" i="29"/>
  <c r="D11" i="39"/>
  <c r="F105" i="63"/>
  <c r="K105" i="63" s="1"/>
  <c r="AA94" i="25"/>
  <c r="AA98" i="25"/>
  <c r="F103" i="63"/>
  <c r="R103" i="63" s="1"/>
  <c r="F122" i="63"/>
  <c r="S122" i="63" s="1"/>
  <c r="F112" i="63"/>
  <c r="S112" i="63" s="1"/>
  <c r="F114" i="63"/>
  <c r="Q114" i="63" s="1"/>
  <c r="F100" i="63"/>
  <c r="P100" i="63" s="1"/>
  <c r="F113" i="63"/>
  <c r="O113" i="63" s="1"/>
  <c r="AA79" i="25"/>
  <c r="AA70" i="25"/>
  <c r="F119" i="63"/>
  <c r="O119" i="63" s="1"/>
  <c r="AA68" i="25"/>
  <c r="AA89" i="25"/>
  <c r="AA69" i="25"/>
  <c r="AA90" i="25"/>
  <c r="F118" i="63"/>
  <c r="O118" i="63" s="1"/>
  <c r="F121" i="63"/>
  <c r="R121" i="63" s="1"/>
  <c r="AA80" i="25"/>
  <c r="AA83" i="25"/>
  <c r="AO83" i="34"/>
  <c r="AA97" i="25"/>
  <c r="F110" i="63"/>
  <c r="K110" i="63" s="1"/>
  <c r="F128" i="63"/>
  <c r="I128" i="63" s="1"/>
  <c r="AA95" i="25"/>
  <c r="AA93" i="25"/>
  <c r="AA96" i="25"/>
  <c r="AA82" i="25"/>
  <c r="F106" i="63"/>
  <c r="N106" i="63" s="1"/>
  <c r="AA84" i="25"/>
  <c r="AA76" i="25"/>
  <c r="F123" i="63"/>
  <c r="S123" i="63" s="1"/>
  <c r="AA77" i="25"/>
  <c r="AZ82" i="39"/>
  <c r="F120" i="63"/>
  <c r="O120" i="63" s="1"/>
  <c r="AA78" i="25"/>
  <c r="AA91" i="25"/>
  <c r="AA75" i="25"/>
  <c r="AA88" i="25"/>
  <c r="AA73" i="25"/>
  <c r="F104" i="63"/>
  <c r="R104" i="63" s="1"/>
  <c r="F109" i="63"/>
  <c r="P109" i="63" s="1"/>
  <c r="AA71" i="25"/>
  <c r="F131" i="63"/>
  <c r="O131" i="63" s="1"/>
  <c r="AA67" i="25"/>
  <c r="AC67" i="25" s="1"/>
  <c r="F111" i="63"/>
  <c r="H111" i="63" s="1"/>
  <c r="F127" i="63"/>
  <c r="K127" i="63" s="1"/>
  <c r="F130" i="63"/>
  <c r="R130" i="63" s="1"/>
  <c r="F108" i="63"/>
  <c r="P108" i="63" s="1"/>
  <c r="AA86" i="25"/>
  <c r="AA92" i="25"/>
  <c r="AA81" i="25"/>
  <c r="AA87" i="25"/>
  <c r="F102" i="63"/>
  <c r="G102" i="63" s="1"/>
  <c r="F107" i="63"/>
  <c r="K107" i="63" s="1"/>
  <c r="F126" i="63"/>
  <c r="S126" i="63" s="1"/>
  <c r="AA72" i="25"/>
  <c r="F101" i="63"/>
  <c r="F124" i="63"/>
  <c r="J124" i="63" s="1"/>
  <c r="F116" i="63"/>
  <c r="R116" i="63" s="1"/>
  <c r="F129" i="63"/>
  <c r="O129" i="63" s="1"/>
  <c r="F125" i="63"/>
  <c r="S125" i="63" s="1"/>
  <c r="F117" i="63"/>
  <c r="R117" i="63" s="1"/>
  <c r="AA85" i="25"/>
  <c r="AA74" i="25"/>
  <c r="F115" i="63"/>
  <c r="S115" i="63" s="1"/>
  <c r="D22" i="29"/>
  <c r="Y77" i="25"/>
  <c r="D34" i="34"/>
  <c r="S13" i="64"/>
  <c r="AB72" i="46"/>
  <c r="Y85" i="25"/>
  <c r="Y74" i="25"/>
  <c r="R116" i="29"/>
  <c r="O52" i="34"/>
  <c r="G52" i="34"/>
  <c r="G16" i="34"/>
  <c r="G20" i="34"/>
  <c r="G28" i="34"/>
  <c r="G26" i="34"/>
  <c r="G18" i="34"/>
  <c r="G24" i="34"/>
  <c r="Y76" i="25"/>
  <c r="Y98" i="25"/>
  <c r="Y86" i="25"/>
  <c r="D97" i="46"/>
  <c r="AB85" i="46"/>
  <c r="D111" i="46"/>
  <c r="U26" i="29"/>
  <c r="S26" i="29" s="1"/>
  <c r="G46" i="34"/>
  <c r="O38" i="34"/>
  <c r="G40" i="34"/>
  <c r="O36" i="34"/>
  <c r="O40" i="34"/>
  <c r="O42" i="34"/>
  <c r="O46" i="34"/>
  <c r="G38" i="34"/>
  <c r="G56" i="34"/>
  <c r="O48" i="34"/>
  <c r="G42" i="34"/>
  <c r="G36" i="34"/>
  <c r="O56" i="34"/>
  <c r="G48" i="34"/>
  <c r="D72" i="46"/>
  <c r="D14" i="39"/>
  <c r="Y88" i="25"/>
  <c r="Y87" i="25"/>
  <c r="D82" i="46"/>
  <c r="D98" i="46"/>
  <c r="AL9" i="38"/>
  <c r="D81" i="46"/>
  <c r="Y91" i="25"/>
  <c r="N6" i="39"/>
  <c r="Y12" i="34"/>
  <c r="V22" i="39"/>
  <c r="Y81" i="25"/>
  <c r="D101" i="46"/>
  <c r="Y89" i="25"/>
  <c r="D5" i="34"/>
  <c r="D91" i="46"/>
  <c r="R109" i="29"/>
  <c r="G13" i="34"/>
  <c r="G51" i="34"/>
  <c r="Q24" i="39"/>
  <c r="G44" i="39"/>
  <c r="G35" i="34"/>
  <c r="Q34" i="39"/>
  <c r="G24" i="39"/>
  <c r="G34" i="39"/>
  <c r="G45" i="34"/>
  <c r="G54" i="39"/>
  <c r="Q44" i="39"/>
  <c r="Q54" i="39"/>
  <c r="G55" i="34"/>
  <c r="Y68" i="25"/>
  <c r="E32" i="34"/>
  <c r="D88" i="46"/>
  <c r="G49" i="25"/>
  <c r="D112" i="46"/>
  <c r="Y94" i="25"/>
  <c r="D3" i="64"/>
  <c r="D3" i="39"/>
  <c r="D3" i="34"/>
  <c r="D3" i="38"/>
  <c r="AP9" i="38"/>
  <c r="S14" i="39"/>
  <c r="Y80" i="25"/>
  <c r="R110" i="29"/>
  <c r="Y73" i="25"/>
  <c r="D5" i="64"/>
  <c r="M55" i="25"/>
  <c r="D76" i="46"/>
  <c r="T9" i="38"/>
  <c r="AC6" i="34"/>
  <c r="S12" i="38"/>
  <c r="AB9" i="34"/>
  <c r="D78" i="46"/>
  <c r="B120" i="46" s="1"/>
  <c r="D96" i="46"/>
  <c r="Y92" i="25"/>
  <c r="D106" i="46"/>
  <c r="AB45" i="38"/>
  <c r="AE45" i="38" s="1"/>
  <c r="AL46" i="38" s="1"/>
  <c r="AL50" i="38" s="1"/>
  <c r="D24" i="38"/>
  <c r="V25" i="38" s="1"/>
  <c r="AB25" i="38" s="1"/>
  <c r="AE25" i="38" s="1"/>
  <c r="AL26" i="38" s="1"/>
  <c r="AL30" i="38" s="1"/>
  <c r="K14" i="38"/>
  <c r="V20" i="38" s="1"/>
  <c r="AB20" i="38" s="1"/>
  <c r="AE20" i="38" s="1"/>
  <c r="AL21" i="38" s="1"/>
  <c r="AL25" i="38" s="1"/>
  <c r="N53" i="39"/>
  <c r="AB53" i="39" s="1"/>
  <c r="D33" i="39"/>
  <c r="AG23" i="39" s="1"/>
  <c r="D43" i="39"/>
  <c r="AD66" i="39" s="1"/>
  <c r="D34" i="38"/>
  <c r="V35" i="38" s="1"/>
  <c r="AB35" i="38" s="1"/>
  <c r="AC35" i="38" s="1"/>
  <c r="N23" i="39"/>
  <c r="AB23" i="39" s="1"/>
  <c r="K24" i="38"/>
  <c r="V30" i="38" s="1"/>
  <c r="AB30" i="38" s="1"/>
  <c r="AE30" i="38" s="1"/>
  <c r="AL31" i="38" s="1"/>
  <c r="AL35" i="38" s="1"/>
  <c r="AB50" i="38"/>
  <c r="AE50" i="38" s="1"/>
  <c r="AL51" i="38" s="1"/>
  <c r="N43" i="39"/>
  <c r="AJ55" i="39" s="1"/>
  <c r="AJ88" i="39" s="1"/>
  <c r="K34" i="38"/>
  <c r="V40" i="38" s="1"/>
  <c r="AB40" i="38" s="1"/>
  <c r="AE40" i="38" s="1"/>
  <c r="AL41" i="38" s="1"/>
  <c r="AL45" i="38" s="1"/>
  <c r="D23" i="39"/>
  <c r="Y23" i="39" s="1"/>
  <c r="D53" i="39"/>
  <c r="Y53" i="39" s="1"/>
  <c r="N33" i="39"/>
  <c r="AJ37" i="39" s="1"/>
  <c r="AJ86" i="39" s="1"/>
  <c r="D14" i="38"/>
  <c r="V15" i="38" s="1"/>
  <c r="AB15" i="38" s="1"/>
  <c r="AE15" i="38" s="1"/>
  <c r="AL16" i="38" s="1"/>
  <c r="AL20" i="38" s="1"/>
  <c r="T24" i="39"/>
  <c r="W45" i="34"/>
  <c r="J24" i="39"/>
  <c r="J54" i="39"/>
  <c r="W55" i="34"/>
  <c r="J34" i="39"/>
  <c r="J44" i="39"/>
  <c r="W51" i="34"/>
  <c r="T44" i="39"/>
  <c r="W13" i="34"/>
  <c r="T54" i="39"/>
  <c r="W35" i="34"/>
  <c r="T34" i="39"/>
  <c r="D93" i="46"/>
  <c r="E35" i="34"/>
  <c r="E55" i="34"/>
  <c r="E13" i="34"/>
  <c r="E24" i="39"/>
  <c r="O34" i="39"/>
  <c r="O44" i="39"/>
  <c r="E51" i="34"/>
  <c r="E44" i="39"/>
  <c r="O54" i="39"/>
  <c r="E54" i="39"/>
  <c r="O24" i="39"/>
  <c r="E45" i="34"/>
  <c r="E34" i="39"/>
  <c r="AB128" i="46"/>
  <c r="AB76" i="46"/>
  <c r="D11" i="34"/>
  <c r="D89" i="46"/>
  <c r="Y70" i="25"/>
  <c r="D54" i="34"/>
  <c r="D103" i="46"/>
  <c r="D102" i="46"/>
  <c r="AB83" i="46"/>
  <c r="D107" i="46"/>
  <c r="L7" i="39"/>
  <c r="V7" i="39"/>
  <c r="D71" i="46"/>
  <c r="L59" i="34"/>
  <c r="Y71" i="25"/>
  <c r="D74" i="46"/>
  <c r="D7" i="64"/>
  <c r="D73" i="46"/>
  <c r="D14" i="29"/>
  <c r="D75" i="46"/>
  <c r="D63" i="46"/>
  <c r="B118" i="46" s="1"/>
  <c r="R113" i="29"/>
  <c r="AB88" i="46"/>
  <c r="D99" i="46"/>
  <c r="AQ9" i="38"/>
  <c r="S15" i="39"/>
  <c r="Y93" i="25"/>
  <c r="S16" i="39"/>
  <c r="D77" i="46"/>
  <c r="R111" i="29"/>
  <c r="P49" i="25"/>
  <c r="P50" i="25" s="1"/>
  <c r="O16" i="34"/>
  <c r="O22" i="34"/>
  <c r="O28" i="34"/>
  <c r="G14" i="34"/>
  <c r="G22" i="34"/>
  <c r="O14" i="34"/>
  <c r="G55" i="25"/>
  <c r="D114" i="46"/>
  <c r="D92" i="46"/>
  <c r="Y97" i="25"/>
  <c r="D5" i="38"/>
  <c r="AB89" i="46"/>
  <c r="E31" i="34"/>
  <c r="AB77" i="46"/>
  <c r="D80" i="46"/>
  <c r="F13" i="34"/>
  <c r="F45" i="34"/>
  <c r="P44" i="39"/>
  <c r="P24" i="39"/>
  <c r="F24" i="39"/>
  <c r="F44" i="39"/>
  <c r="F54" i="39"/>
  <c r="F51" i="34"/>
  <c r="F55" i="34"/>
  <c r="P34" i="39"/>
  <c r="F35" i="34"/>
  <c r="F34" i="39"/>
  <c r="D44" i="34"/>
  <c r="R115" i="29"/>
  <c r="D38" i="46"/>
  <c r="D100" i="46"/>
  <c r="B123" i="46" s="1"/>
  <c r="D85" i="46"/>
  <c r="Y95" i="25"/>
  <c r="AE95" i="25" s="1"/>
  <c r="AG95" i="25" s="1"/>
  <c r="D33" i="34"/>
  <c r="AB80" i="46"/>
  <c r="D69" i="29"/>
  <c r="Y79" i="25"/>
  <c r="AQ29" i="34" s="1"/>
  <c r="Y84" i="25"/>
  <c r="D9" i="39"/>
  <c r="Y90" i="25"/>
  <c r="C2" i="64"/>
  <c r="AB84" i="46"/>
  <c r="R107" i="29"/>
  <c r="D84" i="46"/>
  <c r="D50" i="34"/>
  <c r="D87" i="46"/>
  <c r="AB74" i="46"/>
  <c r="R101" i="63"/>
  <c r="G101" i="63"/>
  <c r="D11" i="64"/>
  <c r="AQ15" i="34"/>
  <c r="AE88" i="25"/>
  <c r="AG88" i="25" s="1"/>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I110" i="63"/>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G56" i="25" l="1"/>
  <c r="AG47" i="39"/>
  <c r="Y11" i="38"/>
  <c r="Y9" i="38"/>
  <c r="AK78" i="34" s="1"/>
  <c r="Y7" i="38"/>
  <c r="Z5" i="38"/>
  <c r="Y5" i="38"/>
  <c r="AH9" i="38"/>
  <c r="AL65" i="38" s="1"/>
  <c r="Z11" i="38"/>
  <c r="Z12" i="38"/>
  <c r="Y12" i="38"/>
  <c r="D13" i="25"/>
  <c r="J43" i="25" s="1"/>
  <c r="Z10" i="38"/>
  <c r="U18" i="38"/>
  <c r="Z8" i="38"/>
  <c r="Z7" i="38"/>
  <c r="Z9" i="38"/>
  <c r="Z6" i="38"/>
  <c r="Y10" i="38"/>
  <c r="T27" i="38"/>
  <c r="T37" i="38"/>
  <c r="U33" i="38"/>
  <c r="AA41" i="38"/>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N84" i="39"/>
  <c r="AS84" i="39" s="1"/>
  <c r="AR84" i="39"/>
  <c r="AN89" i="39"/>
  <c r="AS89" i="39" s="1"/>
  <c r="AR89" i="39"/>
  <c r="AN83" i="39"/>
  <c r="AS83" i="39" s="1"/>
  <c r="AR83" i="39"/>
  <c r="AU83" i="39" s="1"/>
  <c r="AI12" i="39" s="1"/>
  <c r="AZ12" i="39" s="1"/>
  <c r="AX87" i="39" l="1"/>
  <c r="AI51" i="39" s="1"/>
  <c r="AZ51" i="39"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<sst xmlns="http://schemas.openxmlformats.org/spreadsheetml/2006/main" count="3748" uniqueCount="2502">
  <si>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</si>
  <si>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</si>
  <si>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</si>
  <si>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</si>
  <si>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</si>
  <si>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</si>
  <si>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</si>
  <si>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</si>
  <si>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</si>
  <si>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</si>
  <si>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</si>
  <si>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</si>
  <si>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</si>
  <si>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</si>
  <si>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</si>
  <si>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</si>
  <si>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</si>
  <si>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</si>
  <si>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</si>
  <si>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</si>
  <si>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</si>
  <si>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</si>
  <si>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</si>
  <si>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</si>
  <si>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</si>
  <si>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</si>
  <si>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</si>
  <si>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</si>
  <si>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</si>
  <si>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</si>
  <si>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</si>
  <si>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</si>
  <si>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</si>
  <si>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</si>
  <si>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</si>
  <si>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</si>
  <si>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</si>
  <si>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</si>
  <si>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</si>
  <si>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</si>
  <si>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</si>
  <si>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</si>
  <si>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</si>
  <si>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</si>
  <si>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</si>
  <si>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</si>
  <si>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</si>
  <si>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</si>
  <si>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</si>
  <si>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</si>
  <si>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</si>
  <si>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</si>
  <si>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</si>
  <si>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</si>
  <si>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</si>
  <si>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</si>
  <si>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</si>
  <si>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</si>
  <si>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</si>
  <si>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</si>
  <si>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</si>
  <si>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</si>
  <si>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</si>
  <si>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</si>
  <si>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</si>
  <si>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</si>
  <si>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</si>
  <si>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</si>
  <si>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</si>
  <si>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</si>
  <si>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</si>
  <si>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</si>
  <si>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</si>
  <si>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</si>
  <si>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</si>
  <si>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</si>
  <si>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</si>
  <si>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</si>
  <si>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</si>
  <si>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</si>
  <si>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</si>
  <si>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</si>
  <si>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</si>
  <si>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</si>
  <si>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</si>
  <si>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</si>
  <si>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</si>
  <si>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</si>
  <si>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</si>
  <si>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</si>
  <si>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</si>
  <si>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</si>
  <si>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</si>
  <si>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</si>
  <si>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</si>
  <si>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</si>
  <si>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</si>
  <si>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</si>
  <si>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</si>
  <si>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</si>
  <si>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</si>
  <si>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</si>
  <si>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</si>
  <si>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</si>
  <si>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</si>
  <si>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</si>
  <si>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</si>
  <si>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</si>
  <si>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</si>
  <si>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</si>
  <si>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</si>
  <si>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</si>
  <si>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</si>
  <si>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</si>
  <si>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</si>
  <si>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</si>
  <si>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</si>
  <si>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</si>
  <si>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</si>
  <si>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</si>
  <si>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</si>
  <si>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</si>
  <si>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</si>
  <si>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</si>
  <si>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</si>
  <si>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</si>
  <si>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</si>
  <si>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</si>
  <si>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</si>
  <si>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</si>
  <si>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</si>
  <si>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</si>
  <si>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</si>
  <si>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</si>
  <si>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</si>
  <si>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</si>
  <si>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</si>
  <si>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</si>
  <si>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</si>
  <si>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</si>
  <si>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</si>
  <si>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</si>
  <si>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</si>
  <si>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</si>
  <si>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</si>
  <si>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</si>
  <si>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</si>
  <si>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</si>
  <si>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</si>
  <si>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</si>
  <si>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</si>
  <si>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</si>
  <si>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</si>
  <si>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</si>
  <si>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</si>
  <si>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</si>
  <si>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</si>
  <si>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</si>
  <si>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</si>
  <si>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</si>
  <si>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</si>
  <si>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</si>
  <si>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</si>
  <si>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</si>
  <si>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</si>
  <si>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</si>
  <si>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</si>
  <si>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</si>
  <si>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</si>
  <si>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</si>
  <si>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</si>
  <si>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</si>
  <si>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</si>
  <si>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</si>
  <si>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</si>
  <si>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</si>
  <si>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</si>
  <si>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</si>
  <si>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</si>
  <si>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</si>
  <si>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</si>
  <si>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</si>
  <si>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</si>
  <si>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</si>
  <si>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</si>
  <si>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</si>
  <si>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</si>
  <si>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</si>
  <si>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</si>
  <si>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</si>
  <si>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</si>
  <si>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</si>
  <si>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</si>
  <si>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</si>
  <si>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</si>
  <si>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</si>
  <si>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</si>
  <si>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</si>
  <si>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</si>
  <si>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</si>
  <si>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</si>
  <si>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</si>
  <si>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</si>
  <si>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</si>
  <si>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</si>
  <si>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</si>
  <si>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</si>
  <si>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</si>
  <si>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</si>
  <si>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</si>
  <si>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</si>
  <si>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</si>
  <si>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</si>
  <si>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</si>
  <si>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</si>
  <si>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</si>
  <si>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</si>
  <si>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</si>
  <si>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</si>
  <si>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</si>
  <si>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</si>
  <si>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</si>
  <si>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</si>
  <si>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</si>
  <si>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</si>
  <si>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</si>
  <si>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</si>
  <si>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</si>
  <si>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</si>
  <si>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</si>
  <si>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</si>
  <si>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</si>
  <si>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</si>
  <si>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</si>
  <si>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</si>
  <si>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</si>
  <si>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</si>
  <si>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</si>
  <si>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</si>
  <si>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</si>
  <si>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</si>
  <si>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</si>
  <si>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</si>
  <si>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</si>
  <si>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</si>
  <si>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</si>
  <si>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</si>
  <si>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</si>
  <si>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</si>
  <si>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</si>
  <si>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</si>
  <si>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</si>
  <si>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</si>
  <si>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</si>
  <si>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</si>
  <si>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</si>
  <si>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</si>
  <si>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</si>
  <si>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</si>
  <si>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</si>
  <si>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</si>
  <si>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</si>
  <si>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</si>
  <si>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</si>
  <si>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</si>
  <si>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</si>
  <si>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</si>
  <si>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</si>
  <si>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</si>
  <si>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</si>
  <si>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</si>
  <si>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</si>
  <si>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</si>
  <si>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</si>
  <si>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</si>
  <si>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</si>
  <si>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</si>
  <si>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</si>
  <si>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</si>
  <si>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</si>
  <si>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</si>
  <si>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</si>
  <si>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</si>
  <si>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</si>
  <si>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</si>
  <si>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</si>
  <si>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</si>
  <si>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</si>
  <si>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</si>
  <si>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</si>
  <si>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</si>
  <si>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</si>
  <si>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</si>
  <si>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</si>
  <si>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</si>
  <si>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</si>
  <si>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</si>
  <si>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</si>
  <si>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</si>
  <si>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</si>
  <si>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</si>
  <si>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</si>
  <si>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</si>
  <si>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</si>
  <si>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</si>
  <si>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</si>
  <si>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</si>
  <si>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</si>
  <si>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</si>
  <si>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</si>
  <si>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</si>
  <si>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</si>
  <si>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</si>
  <si>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</si>
  <si>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</si>
  <si>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</si>
  <si>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</si>
  <si>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</si>
  <si>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</si>
  <si>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</si>
  <si>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</si>
  <si>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</si>
  <si>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</si>
  <si>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</si>
  <si>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</si>
  <si>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</si>
  <si>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</si>
  <si>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</si>
  <si>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</si>
  <si>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</si>
  <si>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</si>
  <si>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</si>
  <si>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</si>
  <si>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</si>
  <si>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</si>
  <si>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</si>
  <si>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</si>
  <si>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</si>
  <si>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</si>
  <si>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</si>
  <si>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</si>
  <si>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</si>
  <si>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</si>
  <si>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</si>
  <si>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</si>
  <si>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</si>
  <si>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</si>
  <si>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</si>
  <si>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</si>
  <si>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</si>
  <si>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</si>
  <si>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</si>
  <si>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</si>
  <si>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</si>
  <si>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</si>
  <si>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</si>
  <si>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</si>
  <si>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</si>
  <si>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</si>
  <si>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</si>
  <si>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</si>
  <si>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</si>
  <si>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</si>
  <si>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</si>
  <si>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</si>
  <si>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</si>
  <si>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</si>
  <si>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</si>
  <si>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</si>
  <si>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</si>
  <si>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</si>
  <si>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</si>
  <si>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</si>
  <si>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</si>
  <si>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</si>
  <si>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</si>
  <si>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</si>
  <si>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</si>
  <si>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</si>
  <si>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</si>
  <si>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</si>
  <si>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</si>
  <si>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</si>
  <si>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</si>
  <si>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</si>
  <si>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</si>
  <si>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</si>
  <si>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</si>
  <si>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</si>
  <si>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</si>
  <si>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</si>
  <si>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</si>
  <si>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</si>
  <si>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</si>
  <si>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</si>
  <si>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</si>
  <si>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</si>
  <si>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</si>
  <si>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</si>
  <si>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</si>
  <si>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</si>
  <si>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</si>
  <si>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</si>
  <si>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</si>
  <si>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</si>
  <si>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</si>
  <si>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</si>
  <si>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</si>
  <si>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</si>
  <si>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</si>
  <si>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</si>
  <si>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</si>
  <si>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</si>
  <si>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</si>
  <si>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</si>
  <si>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</si>
  <si>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</si>
  <si>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</si>
  <si>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</si>
  <si>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</si>
  <si>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</si>
  <si>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</si>
  <si>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</si>
  <si>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</si>
  <si>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</si>
  <si>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</si>
  <si>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</si>
  <si>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</si>
  <si>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</si>
  <si>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</si>
  <si>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</si>
  <si>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</si>
  <si>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</si>
  <si>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</si>
  <si>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</si>
  <si>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</si>
  <si>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</si>
  <si>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</si>
  <si>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</si>
  <si>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</si>
  <si>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</si>
  <si>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</si>
  <si>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</si>
  <si>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</si>
  <si>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</si>
  <si>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</si>
  <si>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</si>
  <si>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</si>
  <si>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</si>
  <si>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</si>
  <si>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</si>
  <si>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</si>
  <si>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</si>
  <si>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</si>
  <si>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</si>
  <si>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</si>
  <si>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</si>
  <si>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</si>
  <si>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</si>
  <si>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</si>
  <si>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</si>
  <si>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</si>
  <si>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</si>
  <si>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</si>
  <si>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</si>
  <si>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</si>
  <si>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</si>
  <si>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</si>
  <si>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</si>
  <si>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</si>
  <si>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</si>
  <si>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</si>
  <si>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</si>
  <si>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</si>
  <si>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</si>
  <si>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</si>
  <si>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</si>
  <si>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</si>
  <si>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</si>
  <si>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</si>
  <si>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</si>
  <si>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</si>
  <si>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</si>
  <si>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</si>
  <si>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</si>
  <si>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</si>
  <si>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</si>
  <si>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</si>
  <si>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</si>
  <si>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</si>
  <si>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</si>
  <si>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</si>
  <si>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</si>
  <si>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</si>
  <si>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</si>
  <si>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</si>
  <si>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</si>
  <si>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</si>
  <si>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</si>
  <si>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</si>
  <si>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</si>
  <si>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</si>
  <si>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</si>
  <si>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</si>
  <si>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</si>
  <si>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</si>
  <si>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</si>
  <si>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</si>
  <si>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</si>
  <si>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</si>
  <si>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</si>
  <si>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</si>
  <si>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</si>
  <si>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</si>
  <si>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</si>
  <si>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</si>
  <si>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</si>
  <si>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</si>
  <si>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</si>
  <si>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</si>
  <si>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</si>
  <si>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</si>
  <si>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</si>
  <si>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</si>
  <si>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</si>
  <si>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</si>
  <si>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</si>
  <si>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</si>
  <si>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</si>
  <si>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</si>
  <si>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</si>
  <si>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</si>
  <si>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</si>
  <si>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</si>
  <si>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</si>
  <si>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</si>
  <si>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</si>
  <si>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</si>
  <si>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</si>
  <si>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</si>
  <si>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</si>
  <si>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</si>
  <si>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</si>
  <si>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</si>
  <si>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</si>
  <si>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</si>
  <si>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</si>
  <si>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</si>
  <si>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</si>
  <si>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</si>
  <si>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</si>
  <si>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</si>
  <si>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</si>
  <si>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</si>
  <si>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</si>
  <si>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</si>
  <si>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</si>
  <si>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</si>
  <si>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</si>
  <si>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</si>
  <si>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</si>
  <si>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</si>
  <si>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</si>
  <si>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</si>
  <si>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</si>
  <si>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</si>
  <si>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</si>
  <si>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</si>
  <si>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</si>
  <si>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</si>
  <si>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</si>
  <si>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</si>
  <si>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</si>
  <si>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</si>
  <si>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</si>
  <si>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</si>
  <si>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</si>
  <si>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</si>
  <si>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</si>
  <si>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</si>
  <si>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</si>
  <si>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</si>
  <si>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</si>
  <si>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</si>
  <si>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</si>
  <si>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</si>
  <si>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</si>
  <si>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</si>
  <si>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</si>
  <si>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</si>
  <si>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</si>
  <si>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</si>
  <si>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</si>
  <si>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</si>
  <si>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</si>
  <si>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</si>
  <si>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</si>
  <si>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</si>
  <si>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</si>
  <si>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</si>
  <si>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</si>
  <si>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</si>
  <si>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</si>
  <si>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</si>
  <si>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</si>
  <si>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</si>
  <si>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</si>
  <si>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</si>
  <si>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</si>
  <si>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</si>
  <si>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</si>
  <si>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</si>
  <si>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</si>
  <si>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</si>
  <si>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</si>
  <si>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</si>
  <si>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</si>
  <si>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</si>
  <si>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</si>
  <si>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</si>
  <si>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</si>
  <si>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</si>
  <si>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</si>
  <si>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</si>
  <si>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</si>
  <si>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</si>
  <si>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</si>
  <si>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</si>
  <si>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</si>
  <si>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</si>
  <si>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</si>
  <si>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</si>
  <si>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</si>
  <si>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</si>
  <si>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</si>
  <si>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</si>
  <si>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</si>
  <si>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</si>
  <si>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</si>
  <si>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</si>
  <si>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</si>
  <si>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</si>
  <si>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</si>
  <si>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</si>
  <si>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</si>
  <si>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</si>
  <si>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</si>
  <si>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</si>
  <si>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</si>
  <si>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</si>
  <si>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</si>
  <si>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</si>
  <si>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</si>
  <si>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</si>
  <si>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</si>
  <si>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</si>
  <si>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</si>
  <si>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</si>
  <si>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</si>
  <si>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</si>
  <si>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</si>
  <si>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</si>
  <si>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</si>
  <si>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</si>
  <si>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</si>
  <si>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</si>
  <si>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</si>
  <si>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</si>
  <si>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</si>
  <si>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</si>
  <si>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</si>
  <si>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</si>
  <si>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</si>
  <si>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</si>
  <si>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</si>
  <si>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</si>
  <si>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</si>
  <si>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</si>
  <si>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</si>
  <si>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</si>
  <si>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</si>
  <si>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</si>
  <si>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</si>
  <si>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</si>
  <si>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</si>
  <si>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</si>
  <si>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</si>
  <si>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</si>
  <si>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</si>
  <si>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</si>
  <si>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</si>
  <si>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</si>
  <si>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</si>
  <si>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</si>
  <si>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</si>
  <si>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</si>
  <si>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</si>
  <si>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</si>
  <si>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</si>
  <si>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</si>
  <si>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</si>
  <si>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</si>
  <si>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</si>
  <si>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</si>
  <si>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</si>
  <si>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</si>
  <si>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</si>
  <si>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</si>
  <si>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</si>
  <si>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</si>
  <si>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</si>
  <si>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</si>
  <si>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</si>
  <si>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</si>
  <si>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</si>
  <si>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</si>
  <si>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</si>
  <si>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</si>
  <si>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</si>
  <si>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</si>
  <si>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</si>
  <si>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</si>
  <si>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</si>
  <si>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</si>
  <si>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</si>
  <si>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</si>
  <si>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</si>
  <si>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</si>
  <si>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</si>
  <si>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</si>
  <si>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</si>
  <si>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</si>
  <si>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</si>
  <si>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</si>
  <si>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</si>
  <si>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</si>
  <si>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</si>
  <si>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</si>
  <si>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</si>
  <si>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</si>
  <si>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</si>
  <si>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</si>
  <si>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</si>
  <si>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</si>
  <si>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</si>
  <si>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</si>
  <si>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</si>
  <si>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</si>
  <si>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</si>
  <si>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</si>
  <si>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</si>
  <si>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</si>
  <si>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</si>
  <si>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</si>
  <si>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</si>
  <si>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</si>
  <si>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</si>
  <si>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</si>
  <si>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</si>
  <si>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</si>
  <si>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</si>
  <si>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</si>
  <si>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</si>
  <si>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</si>
  <si>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</si>
  <si>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</si>
  <si>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</si>
  <si>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</si>
  <si>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</si>
  <si>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</si>
  <si>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</si>
  <si>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</si>
  <si>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</si>
  <si>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</si>
  <si>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</si>
  <si>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</si>
  <si>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</si>
  <si>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</si>
  <si>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</si>
  <si>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</si>
  <si>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</si>
  <si>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</si>
  <si>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</si>
  <si>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</si>
  <si>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</si>
  <si>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</si>
  <si>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</si>
  <si>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</si>
  <si>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</si>
  <si>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</si>
  <si>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</si>
  <si>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</si>
  <si>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</si>
  <si>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</si>
  <si>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</si>
  <si>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</si>
  <si>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</si>
  <si>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</si>
  <si>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</si>
  <si>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</si>
  <si>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</si>
  <si>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</si>
  <si>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</si>
  <si>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</si>
  <si>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</si>
  <si>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</si>
  <si>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</si>
  <si>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</si>
  <si>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</si>
  <si>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</si>
  <si>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</si>
  <si>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</si>
  <si>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</si>
  <si>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</si>
  <si>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</si>
  <si>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</si>
  <si>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</si>
  <si>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</si>
  <si>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</si>
  <si>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</si>
  <si>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</si>
  <si>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</si>
  <si>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</si>
  <si>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</si>
  <si>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</si>
  <si>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</si>
  <si>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</si>
  <si>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</si>
  <si>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</si>
  <si>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</si>
  <si>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</si>
  <si>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</si>
  <si>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</si>
  <si>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</si>
  <si>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</si>
  <si>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</si>
  <si>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</si>
  <si>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</si>
  <si>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</si>
  <si>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</si>
  <si>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</si>
  <si>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</si>
  <si>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</si>
  <si>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</si>
  <si>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</si>
  <si>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</si>
  <si>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</si>
  <si>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</si>
  <si>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</si>
  <si>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</si>
  <si>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</si>
  <si>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</si>
  <si>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</si>
  <si>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</si>
  <si>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</si>
  <si>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</si>
  <si>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</si>
  <si>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</si>
  <si>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</si>
  <si>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</si>
  <si>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</si>
  <si>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</si>
  <si>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</si>
  <si>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</si>
  <si>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</si>
  <si>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</si>
  <si>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</si>
  <si>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</si>
  <si>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</si>
  <si>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</si>
  <si>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</si>
  <si>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</si>
  <si>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</si>
  <si>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</si>
  <si>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</si>
  <si>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</si>
  <si>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</si>
  <si>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</si>
  <si>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</si>
  <si>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</si>
  <si>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</si>
  <si>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</si>
  <si>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</si>
  <si>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</si>
  <si>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</si>
  <si>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</si>
  <si>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</si>
  <si>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</si>
  <si>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</si>
  <si>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</si>
  <si>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</si>
  <si>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</si>
  <si>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</si>
  <si>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</si>
  <si>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</si>
  <si>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</si>
  <si>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</si>
  <si>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</si>
  <si>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</si>
  <si>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</si>
  <si>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</si>
  <si>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</si>
  <si>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</si>
  <si>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</si>
  <si>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</si>
  <si>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</si>
  <si>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</si>
  <si>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</si>
  <si>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</si>
  <si>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</si>
  <si>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</si>
  <si>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</si>
  <si>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</si>
  <si>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</si>
  <si>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</si>
  <si>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</si>
  <si>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</si>
  <si>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</si>
  <si>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</si>
  <si>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</si>
  <si>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</si>
  <si>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</si>
  <si>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</si>
  <si>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</si>
  <si>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</si>
  <si>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</si>
  <si>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</si>
  <si>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</si>
  <si>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</si>
  <si>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</si>
  <si>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</si>
  <si>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</si>
  <si>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</si>
  <si>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</si>
  <si>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</si>
  <si>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</si>
  <si>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</si>
  <si>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</si>
  <si>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</si>
  <si>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</si>
  <si>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</si>
  <si>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</si>
  <si>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</si>
  <si>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</si>
  <si>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</si>
  <si>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</si>
  <si>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</si>
  <si>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</si>
  <si>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</si>
  <si>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</si>
  <si>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</si>
  <si>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</si>
  <si>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</si>
  <si>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</si>
  <si>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</si>
  <si>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</si>
  <si>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</si>
  <si>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</si>
  <si>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</si>
  <si>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</si>
  <si>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</si>
  <si>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</si>
  <si>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</si>
  <si>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</si>
  <si>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</si>
  <si>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</si>
  <si>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</si>
  <si>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</si>
  <si>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</si>
  <si>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</si>
  <si>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</si>
  <si>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</si>
  <si>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</si>
  <si>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</si>
  <si>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</si>
  <si>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</si>
  <si>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</si>
  <si>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</si>
  <si>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</si>
  <si>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</si>
  <si>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</si>
  <si>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</si>
  <si>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</si>
  <si>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</si>
  <si>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</si>
  <si>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</si>
  <si>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</si>
  <si>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</si>
  <si>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</si>
  <si>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</si>
  <si>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</si>
  <si>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</si>
  <si>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</si>
  <si>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</si>
  <si>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</si>
  <si>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</si>
  <si>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</si>
  <si>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</si>
  <si>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</si>
  <si>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</si>
  <si>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</si>
  <si>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</si>
  <si>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</si>
  <si>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</si>
  <si>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</si>
  <si>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</si>
  <si>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</si>
  <si>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</si>
  <si>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</si>
  <si>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</si>
  <si>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</si>
  <si>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</si>
  <si>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</si>
  <si>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</si>
  <si>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</si>
  <si>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</si>
  <si>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</si>
  <si>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</si>
  <si>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</si>
  <si>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</si>
  <si>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</si>
  <si>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</si>
  <si>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</si>
  <si>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</si>
  <si>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</si>
  <si>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</si>
  <si>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</si>
  <si>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</si>
  <si>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</si>
  <si>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</si>
  <si>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</si>
  <si>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</si>
  <si>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</si>
  <si>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</si>
  <si>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</si>
  <si>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</si>
  <si>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</si>
  <si>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</si>
  <si>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</si>
  <si>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</si>
  <si>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</si>
  <si>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</si>
  <si>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</si>
  <si>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</si>
  <si>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</si>
  <si>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</si>
  <si>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</si>
  <si>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</si>
  <si>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</si>
  <si>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</si>
  <si>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</si>
  <si>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</si>
  <si>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</si>
  <si>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</si>
  <si>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</si>
  <si>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</si>
  <si>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</si>
  <si>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</si>
  <si>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</si>
  <si>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</si>
  <si>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</si>
  <si>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</si>
  <si>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</si>
  <si>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</si>
  <si>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</si>
  <si>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</si>
  <si>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</si>
  <si>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</si>
  <si>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</si>
  <si>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</si>
  <si>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</si>
  <si>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</si>
  <si>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</si>
  <si>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</si>
  <si>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</si>
  <si>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</si>
  <si>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</si>
  <si>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</si>
  <si>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</si>
  <si>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</si>
  <si>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</si>
  <si>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</si>
  <si>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</si>
  <si>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</si>
  <si>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</si>
  <si>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</si>
  <si>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</si>
  <si>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</si>
  <si>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</si>
  <si>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</si>
  <si>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</si>
  <si>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</si>
  <si>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</si>
  <si>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</si>
  <si>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</si>
  <si>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</si>
  <si>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</si>
  <si>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</si>
  <si>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</si>
  <si>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</si>
  <si>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</si>
  <si>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</si>
  <si>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</si>
  <si>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</si>
  <si>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</si>
  <si>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</si>
  <si>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</si>
  <si>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</si>
  <si>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</si>
  <si>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</si>
  <si>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</si>
  <si>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</si>
  <si>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</si>
  <si>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</si>
  <si>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</si>
  <si>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</si>
  <si>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</si>
  <si>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</si>
  <si>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</si>
  <si>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</si>
  <si>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</si>
  <si>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</si>
  <si>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</si>
  <si>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</si>
  <si>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</si>
  <si>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</si>
  <si>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</si>
  <si>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</si>
  <si>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</si>
  <si>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</si>
  <si>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</si>
  <si>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</si>
  <si>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</si>
  <si>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</si>
  <si>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</si>
  <si>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</si>
  <si>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</si>
  <si>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</si>
  <si>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</si>
  <si>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</si>
  <si>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</si>
  <si>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</si>
  <si>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</si>
  <si>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</si>
  <si>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</si>
  <si>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</si>
  <si>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</si>
  <si>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</si>
  <si>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</si>
  <si>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</si>
  <si>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</si>
  <si>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</si>
  <si>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</si>
  <si>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</si>
  <si>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</si>
  <si>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</si>
  <si>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</si>
  <si>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</si>
  <si>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</si>
  <si>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</si>
  <si>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</si>
  <si>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</si>
  <si>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</si>
  <si>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</si>
  <si>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</si>
  <si>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</si>
  <si>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</si>
  <si>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</si>
  <si>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</si>
  <si>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</si>
  <si>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</si>
  <si>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</si>
  <si>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</si>
  <si>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</si>
  <si>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</si>
  <si>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</si>
  <si>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</si>
  <si>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</si>
  <si>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</si>
  <si>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</si>
  <si>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</si>
  <si>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</si>
  <si>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</si>
  <si>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</si>
  <si>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</si>
  <si>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</si>
  <si>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</si>
  <si>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</si>
  <si>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</si>
  <si>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</si>
  <si>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</si>
  <si>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</si>
  <si>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</si>
  <si>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</si>
  <si>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</si>
  <si>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</si>
  <si>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</si>
  <si>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</si>
  <si>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</si>
  <si>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</si>
  <si>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</si>
  <si>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</si>
  <si>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</si>
  <si>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</si>
  <si>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</si>
  <si>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</si>
  <si>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</si>
  <si>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</si>
  <si>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</si>
  <si>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</si>
  <si>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</si>
  <si>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</si>
  <si>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</si>
  <si>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</si>
  <si>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</si>
  <si>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</si>
  <si>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</si>
  <si>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</si>
  <si>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</si>
  <si>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</si>
  <si>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</si>
  <si>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</si>
  <si>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</si>
  <si>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</si>
  <si>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</si>
  <si>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</si>
  <si>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</si>
  <si>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</si>
  <si>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</si>
  <si>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</si>
  <si>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</si>
  <si>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</si>
  <si>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</si>
  <si>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</si>
  <si>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</si>
  <si>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</si>
  <si>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</si>
  <si>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</si>
  <si>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</si>
  <si>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</si>
  <si>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</si>
  <si>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</si>
  <si>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</si>
  <si>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</si>
  <si>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</si>
  <si>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</si>
  <si>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</si>
  <si>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</si>
  <si>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</si>
  <si>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</si>
  <si>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</si>
  <si>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</si>
  <si>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</si>
  <si>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</si>
  <si>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</si>
  <si>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</si>
  <si>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</si>
  <si>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</si>
  <si>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</si>
  <si>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</si>
  <si>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</si>
  <si>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</si>
  <si>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</si>
  <si>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</si>
  <si>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</si>
  <si>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</si>
  <si>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</si>
  <si>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</si>
  <si>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</si>
  <si>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</si>
  <si>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</si>
  <si>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</si>
  <si>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</si>
  <si>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</si>
  <si>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</si>
  <si>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</si>
  <si>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</si>
  <si>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</si>
  <si>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</si>
  <si>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</si>
  <si>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</si>
  <si>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</si>
  <si>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</si>
  <si>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</si>
  <si>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</si>
  <si>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</si>
  <si>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</si>
  <si>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</si>
  <si>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</si>
  <si>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</si>
  <si>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</si>
  <si>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</si>
  <si>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</si>
  <si>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</si>
  <si>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</si>
  <si>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</si>
  <si>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</si>
  <si>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</si>
  <si>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</si>
  <si>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</si>
  <si>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</si>
  <si>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</si>
  <si>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</si>
  <si>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</si>
  <si>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</si>
  <si>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</si>
  <si>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</si>
  <si>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</si>
  <si>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</si>
  <si>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</si>
  <si>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</si>
  <si>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</si>
  <si>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</si>
  <si>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</si>
  <si>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</si>
  <si>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</si>
  <si>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</si>
  <si>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</si>
  <si>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</si>
  <si>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</si>
  <si>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</si>
  <si>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</si>
  <si>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</si>
  <si>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</si>
  <si>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</si>
  <si>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</si>
  <si>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</si>
  <si>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</si>
  <si>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</si>
  <si>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</si>
  <si>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</si>
  <si>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</si>
  <si>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</si>
  <si>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</si>
  <si>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</si>
  <si>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</si>
  <si>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</si>
  <si>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</si>
  <si>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</si>
  <si>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</si>
  <si>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</si>
  <si>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</si>
  <si>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</si>
  <si>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</si>
  <si>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</si>
  <si>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</si>
  <si>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</si>
  <si>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</si>
  <si>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</si>
  <si>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</si>
  <si>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</si>
  <si>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</si>
  <si>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</si>
  <si>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</si>
  <si>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</si>
  <si>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</si>
  <si>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</si>
  <si>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</si>
  <si>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</si>
  <si>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</si>
  <si>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</si>
  <si>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</si>
  <si>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</si>
  <si>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</si>
  <si>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</si>
  <si>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</si>
  <si>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</si>
  <si>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</si>
  <si>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</si>
  <si>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</si>
  <si>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</si>
  <si>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</si>
  <si>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</si>
  <si>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</si>
  <si>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</si>
  <si>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</si>
  <si>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</si>
  <si>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</si>
  <si>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</si>
  <si>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</si>
  <si>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</si>
  <si>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</si>
  <si>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</si>
  <si>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</si>
  <si>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</si>
  <si>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</si>
  <si>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</si>
  <si>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</si>
  <si>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</si>
  <si>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</si>
  <si>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</si>
  <si>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</si>
  <si>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</si>
  <si>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</si>
  <si>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</si>
  <si>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</si>
  <si>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</si>
  <si>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</si>
  <si>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</si>
  <si>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</si>
  <si>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</si>
  <si>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</si>
  <si>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</si>
  <si>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</si>
  <si>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</si>
  <si>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</si>
  <si>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</si>
  <si>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</si>
  <si>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</si>
  <si>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</si>
  <si>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</si>
  <si>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</si>
  <si>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</si>
  <si>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</si>
  <si>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</si>
  <si>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</si>
  <si>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</si>
  <si>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</si>
  <si>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</si>
  <si>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</si>
  <si>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</si>
  <si>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</si>
  <si>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</si>
  <si>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</si>
  <si>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</si>
  <si>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</si>
  <si>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</si>
  <si>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</si>
  <si>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</si>
  <si>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</si>
  <si>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</si>
  <si>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</si>
  <si>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</si>
  <si>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</si>
  <si>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</si>
  <si>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</si>
  <si>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</si>
  <si>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</si>
  <si>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</si>
  <si>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</si>
  <si>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</si>
  <si>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</si>
  <si>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</si>
  <si>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</si>
  <si>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</si>
  <si>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</si>
  <si>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</si>
  <si>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</si>
  <si>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</si>
  <si>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</si>
  <si>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</si>
  <si>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</si>
  <si>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</si>
  <si>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</si>
  <si>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</si>
  <si>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</si>
  <si>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</si>
  <si>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</si>
  <si>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</si>
  <si>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</si>
  <si>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</si>
  <si>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</si>
  <si>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</si>
  <si>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</si>
  <si>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</si>
  <si>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</si>
  <si>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</si>
  <si>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</si>
  <si>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</si>
  <si>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</si>
  <si>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</si>
  <si>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</si>
  <si>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</si>
  <si>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</si>
  <si>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</si>
  <si>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</si>
  <si>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</si>
  <si>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</si>
  <si>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</si>
  <si>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</si>
  <si>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</si>
  <si>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</si>
  <si>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</si>
  <si>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</si>
  <si>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</si>
  <si>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</si>
  <si>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</si>
  <si>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</si>
  <si>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</si>
  <si>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</si>
  <si>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</si>
  <si>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</si>
  <si>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</si>
  <si>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</si>
  <si>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</si>
  <si>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</si>
  <si>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</si>
  <si>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</si>
  <si>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</si>
  <si>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</si>
  <si>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</si>
  <si>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</si>
  <si>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</si>
  <si>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</si>
  <si>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</si>
  <si>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</si>
  <si>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</si>
  <si>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</si>
  <si>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</si>
  <si>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</si>
  <si>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</si>
  <si>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</si>
  <si>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</si>
  <si>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</si>
  <si>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</si>
  <si>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</si>
  <si>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</si>
  <si>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</si>
  <si>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</si>
  <si>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</si>
  <si>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</si>
  <si>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</si>
  <si>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</si>
  <si>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</si>
  <si>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</si>
  <si>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</si>
  <si>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</si>
  <si>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</si>
  <si>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</si>
  <si>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</si>
  <si>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</si>
  <si>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</si>
  <si>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</si>
  <si>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</si>
  <si>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</si>
  <si>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</si>
  <si>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</si>
  <si>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</si>
  <si>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</si>
  <si>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</si>
  <si>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</si>
  <si>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</si>
  <si>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</si>
  <si>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</si>
  <si>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</si>
  <si>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</si>
  <si>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</si>
  <si>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</si>
  <si>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</si>
  <si>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</si>
  <si>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</si>
  <si>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</si>
  <si>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</si>
  <si>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</si>
  <si>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</si>
  <si>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</si>
  <si>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</si>
  <si>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</si>
  <si>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</si>
  <si>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</si>
  <si>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</si>
  <si>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</si>
  <si>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</si>
  <si>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</si>
  <si>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</si>
  <si>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</si>
  <si>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</si>
  <si>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</si>
  <si>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</si>
  <si>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</si>
  <si>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</si>
  <si>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</si>
  <si>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</si>
  <si>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</si>
  <si>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</si>
  <si>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</si>
  <si>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</si>
  <si>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</si>
  <si>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</si>
  <si>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</si>
  <si>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</si>
  <si>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</si>
  <si>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</si>
  <si>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</si>
  <si>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</si>
  <si>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</si>
  <si>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</si>
  <si>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</si>
  <si>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</si>
  <si>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</si>
  <si>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</si>
  <si>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</si>
  <si>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</si>
  <si>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</si>
  <si>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</si>
  <si>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</si>
  <si>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</si>
  <si>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</si>
  <si>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</si>
  <si>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</si>
  <si>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</si>
  <si>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</si>
  <si>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</si>
  <si>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</si>
  <si>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</si>
  <si>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</si>
  <si>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</si>
  <si>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</si>
  <si>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</si>
  <si>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</si>
  <si>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</si>
  <si>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</si>
  <si>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</si>
  <si>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</si>
  <si>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</si>
  <si>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</si>
  <si>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</si>
  <si>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</si>
  <si>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</si>
  <si>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</si>
  <si>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</si>
  <si>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</si>
  <si>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</si>
  <si>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</si>
  <si>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</si>
  <si>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</si>
  <si>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</si>
  <si>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</si>
  <si>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</si>
  <si>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</si>
  <si>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</si>
  <si>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</si>
  <si>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</si>
  <si>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</si>
  <si>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</si>
  <si>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</si>
  <si>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</si>
  <si>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</si>
  <si>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</si>
  <si>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</si>
  <si>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</si>
  <si>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</si>
  <si>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</si>
  <si>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</si>
  <si>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</si>
  <si>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</si>
  <si>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</si>
  <si>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</si>
  <si>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</si>
  <si>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</si>
  <si>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</si>
  <si>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</si>
  <si>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</si>
  <si>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</si>
  <si>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</si>
  <si>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</si>
  <si>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</si>
  <si>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</si>
  <si>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</si>
  <si>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</si>
  <si>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</si>
  <si>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</si>
  <si>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</si>
  <si>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</si>
  <si>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</si>
  <si>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</si>
  <si>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</si>
  <si>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</si>
  <si>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</si>
  <si>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</si>
  <si>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</si>
  <si>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</si>
  <si>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</si>
  <si>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</si>
  <si>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</si>
  <si>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</si>
  <si>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</si>
  <si>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</si>
  <si>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</si>
  <si>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</si>
  <si>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</si>
  <si>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</si>
  <si>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</si>
  <si>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</si>
  <si>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</si>
  <si>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</si>
  <si>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</si>
  <si>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</si>
  <si>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</si>
  <si>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</si>
  <si>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</si>
  <si>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</si>
  <si>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</si>
  <si>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</si>
  <si>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</si>
  <si>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</si>
  <si>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</si>
  <si>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</si>
  <si>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</si>
  <si>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</si>
  <si>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</si>
  <si>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</si>
  <si>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</si>
  <si>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</si>
  <si>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</si>
  <si>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</si>
  <si>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</si>
  <si>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</si>
  <si>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</si>
  <si>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</si>
  <si>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</si>
  <si>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</si>
  <si>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</si>
  <si>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</si>
  <si>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</si>
  <si>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</si>
  <si>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</si>
  <si>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</si>
  <si>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</si>
  <si>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</si>
  <si>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</si>
  <si>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</si>
  <si>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</si>
  <si>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</si>
  <si>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</si>
  <si>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</si>
  <si>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</si>
  <si>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</si>
  <si>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</si>
  <si>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</si>
  <si>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</si>
  <si>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</si>
  <si>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</si>
  <si>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</si>
  <si>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</si>
  <si>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</si>
  <si>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</si>
  <si>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</si>
  <si>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</si>
  <si>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</si>
  <si>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</si>
  <si>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</si>
  <si>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</si>
  <si>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</si>
  <si>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</si>
  <si>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</si>
  <si>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</si>
  <si>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</si>
  <si>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</si>
  <si>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</si>
  <si>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</si>
  <si>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</si>
  <si>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</si>
  <si>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</si>
  <si>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</si>
  <si>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</si>
  <si>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</si>
  <si>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</si>
  <si>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</si>
  <si>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</si>
  <si>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</si>
  <si>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</si>
  <si>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</si>
  <si>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</si>
  <si>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</si>
  <si>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</si>
  <si>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</si>
  <si>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</si>
  <si>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</si>
  <si>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</si>
  <si>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</si>
  <si>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</si>
  <si>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</si>
  <si>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</si>
  <si>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</si>
  <si>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</si>
  <si>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</si>
  <si>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</si>
  <si>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</si>
  <si>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</si>
  <si>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</si>
  <si>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</si>
  <si>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</si>
  <si>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</si>
  <si>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</si>
  <si>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</si>
  <si>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</si>
  <si>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</si>
  <si>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</si>
  <si>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</si>
  <si>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</si>
  <si>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</si>
  <si>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</si>
  <si>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</si>
  <si>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</si>
  <si>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</si>
  <si>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</si>
  <si>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</si>
  <si>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</si>
  <si>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</si>
  <si>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</si>
  <si>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</si>
  <si>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</si>
  <si>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</si>
  <si>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</si>
  <si>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</si>
  <si>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</si>
  <si>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</si>
  <si>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</si>
  <si>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</si>
  <si>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</si>
  <si>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</si>
  <si>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</si>
  <si>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</si>
  <si>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</si>
  <si>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</si>
  <si>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</si>
  <si>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</si>
  <si>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</si>
  <si>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</si>
  <si>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</si>
  <si>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</si>
  <si>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</si>
  <si>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</si>
  <si>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</si>
  <si>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</si>
  <si>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</si>
  <si>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</si>
  <si>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</si>
  <si>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</si>
  <si>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</si>
  <si>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</si>
  <si>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</si>
  <si>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</si>
  <si>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</si>
  <si>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</si>
  <si>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</si>
  <si>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</si>
  <si>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</si>
  <si>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</si>
  <si>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</si>
  <si>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</si>
  <si>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</si>
  <si>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</si>
  <si>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</si>
  <si>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</si>
  <si>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</si>
  <si>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</si>
  <si>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</si>
  <si>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</si>
  <si>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</si>
  <si>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</si>
  <si>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</si>
  <si>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</si>
  <si>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</si>
  <si>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</si>
  <si>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</si>
  <si>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</si>
  <si>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</si>
  <si>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</si>
  <si>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</si>
  <si>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</si>
  <si>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</si>
  <si>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</si>
  <si>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</si>
  <si>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</si>
  <si>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</si>
  <si>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</si>
  <si>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</si>
  <si>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</si>
  <si>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</si>
  <si>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</si>
  <si>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</si>
  <si>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</si>
  <si>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</si>
  <si>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</si>
  <si>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</si>
  <si>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</si>
  <si>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</si>
  <si>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</si>
  <si>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</si>
  <si>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</si>
  <si>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</si>
  <si>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</si>
  <si>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</si>
  <si>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</si>
  <si>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</si>
  <si>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</si>
  <si>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</si>
  <si>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</si>
  <si>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</si>
  <si>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</si>
  <si>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</si>
  <si>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</si>
  <si>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</si>
  <si>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</si>
  <si>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</si>
  <si>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</si>
  <si>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</si>
  <si>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</si>
  <si>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</si>
  <si>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</si>
  <si>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</si>
  <si>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</si>
  <si>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</si>
  <si>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</si>
  <si>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</si>
  <si>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</si>
  <si>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</si>
  <si>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</si>
  <si>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</si>
  <si>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</si>
  <si>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</si>
  <si>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</si>
  <si>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</si>
  <si>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</si>
  <si>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</si>
  <si>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</si>
  <si>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</si>
  <si>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</si>
  <si>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</si>
  <si>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</si>
  <si>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</si>
  <si>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</si>
  <si>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</si>
  <si>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</si>
  <si>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</si>
  <si>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</si>
  <si>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</si>
  <si>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</si>
  <si>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</si>
  <si>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</si>
  <si>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</si>
  <si>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</si>
  <si>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</si>
  <si>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</si>
  <si>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</si>
  <si>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</si>
  <si>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</si>
  <si>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</si>
  <si>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</si>
  <si>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</si>
  <si>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</si>
  <si>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</si>
  <si>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</si>
  <si>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</si>
  <si>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</si>
  <si>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</si>
  <si>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</si>
  <si>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</si>
  <si>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</si>
  <si>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</si>
  <si>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</si>
  <si>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</si>
  <si>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</si>
  <si>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</si>
  <si>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</si>
  <si>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</si>
  <si>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</si>
  <si>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</si>
  <si>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</si>
  <si>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</si>
  <si>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</si>
  <si>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</si>
  <si>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</si>
  <si>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</si>
  <si>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</si>
  <si>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</si>
  <si>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</si>
  <si>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</si>
  <si>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</si>
  <si>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</si>
  <si>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</si>
  <si>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</si>
  <si>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</si>
  <si>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</si>
  <si>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</si>
  <si>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</si>
  <si>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</si>
  <si>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</si>
  <si>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</si>
  <si>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</si>
  <si>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</si>
  <si>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</si>
  <si>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</si>
  <si>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</si>
  <si>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</si>
  <si>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</si>
  <si>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</si>
  <si>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</si>
  <si>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</si>
  <si>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</si>
  <si>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</si>
  <si>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</si>
  <si>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</si>
  <si>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</si>
  <si>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</si>
  <si>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</si>
  <si>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</si>
  <si>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</si>
  <si>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</si>
  <si>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</si>
  <si>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</si>
  <si>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</si>
  <si>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</si>
  <si>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</si>
  <si>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</si>
  <si>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</si>
  <si>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</si>
  <si>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</si>
  <si>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</si>
  <si>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</si>
  <si>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</si>
  <si>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</si>
  <si>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</si>
  <si>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</si>
  <si>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</si>
  <si>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</si>
  <si>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</si>
  <si>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</si>
  <si>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</si>
  <si>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</si>
  <si>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</si>
  <si>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</si>
  <si>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</si>
  <si>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</si>
  <si>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</si>
  <si>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</si>
  <si>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</si>
  <si>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</si>
  <si>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</si>
  <si>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</si>
  <si>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</si>
  <si>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</si>
  <si>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</si>
  <si>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</si>
  <si>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</si>
  <si>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</si>
  <si>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</si>
  <si>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</si>
  <si>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</si>
  <si>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</si>
  <si>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</si>
  <si>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</si>
  <si>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</si>
  <si>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</si>
  <si>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</si>
  <si>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</si>
  <si>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</si>
  <si>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</si>
  <si>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</si>
  <si>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</si>
  <si>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</si>
  <si>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</si>
  <si>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</si>
  <si>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</si>
  <si>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</si>
  <si>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</si>
  <si>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</si>
  <si>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</si>
  <si>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</si>
  <si>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</si>
  <si>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</si>
  <si>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</si>
  <si>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</si>
  <si>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</si>
  <si>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</si>
  <si>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</si>
  <si>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</si>
  <si>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</si>
  <si>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</si>
  <si>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</si>
  <si>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</si>
  <si>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</si>
  <si>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</si>
  <si>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</si>
  <si>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</si>
  <si>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</si>
  <si>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</si>
  <si>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</si>
  <si>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</si>
  <si>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</si>
  <si>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</si>
  <si>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</si>
  <si>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</si>
  <si>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</si>
  <si>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</si>
  <si>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</si>
  <si>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</si>
  <si>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</si>
  <si>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</si>
  <si>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</si>
  <si>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</si>
  <si>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</si>
  <si>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</si>
  <si>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</si>
  <si>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</si>
  <si>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</si>
  <si>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</si>
  <si>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</si>
  <si>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</si>
  <si>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</si>
  <si>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</si>
  <si>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</si>
  <si>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</si>
  <si>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</si>
  <si>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</si>
  <si>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</si>
  <si>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</si>
  <si>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</si>
  <si>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</si>
  <si>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</si>
  <si>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</si>
  <si>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</si>
  <si>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</si>
  <si>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</si>
  <si>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</si>
  <si>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</si>
  <si>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</si>
  <si>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</si>
  <si>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</si>
  <si>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</si>
  <si>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</si>
  <si>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</si>
  <si>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</si>
  <si>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</si>
  <si>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</si>
  <si>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</si>
  <si>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</si>
  <si>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</si>
  <si>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</si>
  <si>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</si>
  <si>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</si>
  <si>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</si>
  <si>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</si>
  <si>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</si>
  <si>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</si>
  <si>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</si>
  <si>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</si>
  <si>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</si>
  <si>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</si>
  <si>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</si>
  <si>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</si>
  <si>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</si>
  <si>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</si>
  <si>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</si>
  <si>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</si>
  <si>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</si>
  <si>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</si>
  <si>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</si>
  <si>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</si>
  <si>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</si>
  <si>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</si>
  <si>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</si>
  <si>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</si>
  <si>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</si>
  <si>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</si>
  <si>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</si>
  <si>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</si>
  <si>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</si>
  <si>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</si>
  <si>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</si>
  <si>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</si>
  <si>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</si>
  <si>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</si>
  <si>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</si>
  <si>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</si>
  <si>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</si>
  <si>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</si>
  <si>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</si>
  <si>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</si>
  <si>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</si>
  <si>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</si>
  <si>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</si>
  <si>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</si>
  <si>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</si>
  <si>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</si>
  <si>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</si>
  <si>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</si>
  <si>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</si>
  <si>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</si>
  <si>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</si>
  <si>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</si>
  <si>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</si>
  <si>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</si>
  <si>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</si>
  <si>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</si>
  <si>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</si>
  <si>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</si>
  <si>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</si>
  <si>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</si>
  <si>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</si>
  <si>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</si>
  <si>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</si>
  <si>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</si>
  <si>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</si>
  <si>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</si>
  <si>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</si>
  <si>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</si>
  <si>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</si>
  <si>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</si>
  <si>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</si>
  <si>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</si>
  <si>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</si>
  <si>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</si>
  <si>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</si>
  <si>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</si>
  <si>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</si>
  <si>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</si>
  <si>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</si>
  <si>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</si>
  <si>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</si>
  <si>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</si>
  <si>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</si>
  <si>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</si>
  <si>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</si>
  <si>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</si>
  <si>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</si>
  <si>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</si>
  <si>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</si>
  <si>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</si>
  <si>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</si>
  <si>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</si>
  <si>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</si>
  <si>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</si>
  <si>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</si>
  <si>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</si>
  <si>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</si>
  <si>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</si>
  <si>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</si>
  <si>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</si>
  <si>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</si>
  <si>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</si>
  <si>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</si>
  <si>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</si>
  <si>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</si>
  <si>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</si>
  <si>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</si>
  <si>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</si>
  <si>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</si>
  <si>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</si>
  <si>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</si>
  <si>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</si>
  <si>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</si>
  <si>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</si>
  <si>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</si>
  <si>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</si>
  <si>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</si>
  <si>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</si>
  <si>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</si>
  <si>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</si>
  <si>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</si>
  <si>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</si>
  <si>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</si>
  <si>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</si>
  <si>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</si>
  <si>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</si>
  <si>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</si>
  <si>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</si>
  <si>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</si>
  <si>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</si>
  <si>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</si>
  <si>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</si>
  <si>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</si>
  <si>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</si>
  <si>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</si>
  <si>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</si>
  <si>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</si>
  <si>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</si>
  <si>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</si>
  <si>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</si>
  <si>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</si>
  <si>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</si>
  <si>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</si>
  <si>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</si>
  <si>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</si>
  <si>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</si>
  <si>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</si>
  <si>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</si>
  <si>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</si>
  <si>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</si>
  <si>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</si>
  <si>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</si>
  <si>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</si>
  <si>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</si>
  <si>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</si>
  <si>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</si>
  <si>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</si>
  <si>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</si>
  <si>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</si>
  <si>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</si>
  <si>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</si>
  <si>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</si>
  <si>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</si>
  <si>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</si>
  <si>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</si>
  <si>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</si>
  <si>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</si>
  <si>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</si>
  <si>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</si>
  <si>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</si>
  <si>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</si>
  <si>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</si>
  <si>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</si>
  <si>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</si>
  <si>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</si>
  <si>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</si>
  <si>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</si>
  <si>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</si>
  <si>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</si>
  <si>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</si>
  <si>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</si>
  <si>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</si>
  <si>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</si>
  <si>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</si>
  <si>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</si>
  <si>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</si>
  <si>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</si>
  <si>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</si>
  <si>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</si>
  <si>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</si>
  <si>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</si>
  <si>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</si>
  <si>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</si>
  <si>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</si>
  <si>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</si>
  <si>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</si>
  <si>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</si>
  <si>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</si>
  <si>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</si>
  <si>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</si>
  <si>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</si>
  <si>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</si>
  <si>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</si>
  <si>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</si>
  <si>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</si>
  <si>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</si>
  <si>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</si>
  <si>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</si>
  <si>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</si>
  <si>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</si>
  <si>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</si>
  <si>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</si>
  <si>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</si>
  <si>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</si>
  <si>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</si>
  <si>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</si>
  <si>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</si>
  <si>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</si>
  <si>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</si>
  <si>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</si>
  <si>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</si>
  <si>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</si>
  <si>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</si>
  <si>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</si>
  <si>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</si>
  <si>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</si>
  <si>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</si>
  <si>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</si>
  <si>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</si>
  <si>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</si>
  <si>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</si>
  <si>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</si>
  <si>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</si>
  <si>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</si>
  <si>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</si>
  <si>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</si>
  <si>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</si>
  <si>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</si>
  <si>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</si>
  <si>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</si>
  <si>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</si>
  <si>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</si>
  <si>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</si>
  <si>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</si>
  <si>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</si>
  <si>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</si>
  <si>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</si>
  <si>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</si>
  <si>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</si>
  <si>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</si>
  <si>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</si>
  <si>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</si>
  <si>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</si>
  <si>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</si>
  <si>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</si>
  <si>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</si>
  <si>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</si>
  <si>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</si>
  <si>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</si>
  <si>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</si>
  <si>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</si>
  <si>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</si>
  <si>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</si>
  <si>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</si>
  <si>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</si>
  <si>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</si>
  <si>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</si>
  <si>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</si>
  <si>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</si>
  <si>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</si>
  <si>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</si>
  <si>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</si>
  <si>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</si>
  <si>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</si>
  <si>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</si>
  <si>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</si>
  <si>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</si>
  <si>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</si>
  <si>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</si>
  <si>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</si>
  <si>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</si>
  <si>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</si>
  <si>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</si>
  <si>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</si>
  <si>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</si>
  <si>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</si>
  <si>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</si>
  <si>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</si>
  <si>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</si>
  <si>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</si>
  <si>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</si>
  <si>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</si>
  <si>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</si>
  <si>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</si>
  <si>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</si>
  <si>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</si>
  <si>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</si>
  <si>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</si>
  <si>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</si>
  <si>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</si>
  <si>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</si>
  <si>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</si>
  <si>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</si>
  <si>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</si>
  <si>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</si>
  <si>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</si>
  <si>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</si>
  <si>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</si>
  <si>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</si>
  <si>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</si>
  <si>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</si>
  <si>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</si>
  <si>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</si>
  <si>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</si>
  <si>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</si>
  <si>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</si>
  <si>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</si>
  <si>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</si>
  <si>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</si>
  <si>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</si>
  <si>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</si>
  <si>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</si>
  <si>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</si>
  <si>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</si>
  <si>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</si>
  <si>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</si>
  <si>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</si>
  <si>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</si>
  <si>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</si>
  <si>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</si>
  <si>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</si>
  <si>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</si>
  <si>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</si>
  <si>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</si>
  <si>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</si>
  <si>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</si>
  <si>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</si>
  <si>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</si>
  <si>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</si>
  <si>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</si>
  <si>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</si>
  <si>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</si>
  <si>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</si>
  <si>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</si>
  <si>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</si>
  <si>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</si>
  <si>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</si>
  <si>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</si>
  <si>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</si>
  <si>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</si>
  <si>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</si>
  <si>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</si>
  <si>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</si>
  <si>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</si>
  <si>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</si>
  <si>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</si>
  <si>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</si>
  <si>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</si>
  <si>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</si>
  <si>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</si>
  <si>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</si>
  <si>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</si>
  <si>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</si>
  <si>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</si>
  <si>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</si>
  <si>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</si>
  <si>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</si>
  <si>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</si>
  <si>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</si>
  <si>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ariadnamitja@gmail.com</t>
  </si>
  <si>
    <t>Antonio Mitja (VVJ)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</si>
</sst>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Czech Republic</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Georgia</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Turkey</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Ukraine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Romania</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Slovakia</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Belgium</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France</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Austria</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Netherlands</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Poland</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Serbia</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Denmark</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Slovenia</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Albania</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Italy</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Croatia</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Spain</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Switzerland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Hungary</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Germany</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Group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Group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Group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Group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Group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Group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Group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Group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 </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THE EXCEL PARTICIPATION FORM EURO 2024 (GERMANY)</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2</v>
      </c>
    </row>
    <row r="2" spans="1:6" s="555" customFormat="1" x14ac:dyDescent="0.25">
      <c r="A2" s="556" t="s">
        <v>584</v>
      </c>
      <c r="C2" s="557">
        <f>$C$1+2</f>
        <v>4</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Germany</v>
      </c>
      <c r="C7" s="533" t="s">
        <v>1</v>
      </c>
      <c r="D7" s="538" t="s">
        <v>572</v>
      </c>
      <c r="E7" s="538" t="s">
        <v>1257</v>
      </c>
      <c r="F7" s="538" t="s">
        <v>1586</v>
      </c>
    </row>
    <row r="8" spans="1:6" s="532" customFormat="1" x14ac:dyDescent="0.25">
      <c r="A8" s="535" t="str">
        <f t="shared" si="0"/>
        <v>01-A-003</v>
      </c>
      <c r="B8" s="789" t="str">
        <f ca="1">INDIRECT(CHAR(64+$C$2)&amp;ROW())</f>
        <v>UEFA European Championship 2024: Germany</v>
      </c>
      <c r="C8" s="537" t="s">
        <v>2176</v>
      </c>
      <c r="D8" s="537" t="s">
        <v>2188</v>
      </c>
      <c r="E8" s="537" t="s">
        <v>2182</v>
      </c>
      <c r="F8" s="537" t="s">
        <v>2187</v>
      </c>
    </row>
    <row r="9" spans="1:6" s="533" customFormat="1" x14ac:dyDescent="0.25">
      <c r="A9" s="534" t="str">
        <f t="shared" si="0"/>
        <v>01-A-004</v>
      </c>
      <c r="B9" s="800" t="str">
        <f ca="1">INDIRECT(CHAR(64+$C$2)&amp;ROW())</f>
        <v>One more day until the start of the EURO 2024</v>
      </c>
      <c r="C9" s="538" t="s">
        <v>2178</v>
      </c>
      <c r="D9" s="538" t="s">
        <v>2180</v>
      </c>
      <c r="E9" s="538" t="s">
        <v>2183</v>
      </c>
      <c r="F9" s="538" t="s">
        <v>2185</v>
      </c>
    </row>
    <row r="10" spans="1:6" s="532" customFormat="1" x14ac:dyDescent="0.25">
      <c r="A10" s="535" t="str">
        <f t="shared" si="0"/>
        <v>01-A-005</v>
      </c>
      <c r="B10" s="789" t="str">
        <f ca="1">INDIRECT(CHAR(64+$C$2)&amp;ROW())</f>
        <v>### days left until the start of the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The Manager File</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VERSION</v>
      </c>
      <c r="C17" s="533" t="s">
        <v>869</v>
      </c>
      <c r="D17" s="533" t="s">
        <v>870</v>
      </c>
      <c r="E17" s="533" t="s">
        <v>1204</v>
      </c>
      <c r="F17" s="533" t="s">
        <v>1542</v>
      </c>
    </row>
    <row r="18" spans="1:6" s="532" customFormat="1" x14ac:dyDescent="0.25">
      <c r="A18" s="535" t="str">
        <f t="shared" si="0"/>
        <v>01-A-013</v>
      </c>
      <c r="B18" s="789" t="str">
        <f ca="1">UPPER(INDIRECT(CHAR(64+$C$2)&amp;ROW()))</f>
        <v>DEMO VERSION</v>
      </c>
      <c r="C18" s="532" t="s">
        <v>579</v>
      </c>
      <c r="D18" s="532" t="s">
        <v>580</v>
      </c>
      <c r="E18" s="532" t="s">
        <v>1205</v>
      </c>
      <c r="F18" s="532" t="s">
        <v>1543</v>
      </c>
    </row>
    <row r="19" spans="1:6" s="533" customFormat="1" x14ac:dyDescent="0.25">
      <c r="A19" s="534" t="str">
        <f t="shared" si="0"/>
        <v>01-A-014</v>
      </c>
      <c r="B19" s="800" t="str">
        <f ca="1">UPPER(INDIRECT(CHAR(64+$C$2)&amp;ROW()))</f>
        <v>PREVIEW VERSION</v>
      </c>
      <c r="C19" s="533" t="s">
        <v>867</v>
      </c>
      <c r="D19" s="533" t="s">
        <v>868</v>
      </c>
      <c r="E19" s="533" t="s">
        <v>1206</v>
      </c>
      <c r="F19" s="533" t="s">
        <v>1544</v>
      </c>
    </row>
    <row r="20" spans="1:6" s="532" customFormat="1" x14ac:dyDescent="0.25">
      <c r="A20" s="535" t="str">
        <f t="shared" si="0"/>
        <v>01-A-015</v>
      </c>
      <c r="B20" s="789" t="str">
        <f t="shared" ref="B20:B33" ca="1" si="1">INDIRECT(CHAR(64+$C$2)&amp;ROW())</f>
        <v>Additional Administrator Module for the Organizers</v>
      </c>
      <c r="C20" s="532" t="s">
        <v>538</v>
      </c>
      <c r="D20" s="532" t="s">
        <v>541</v>
      </c>
      <c r="E20" s="532" t="s">
        <v>1207</v>
      </c>
      <c r="F20" s="532" t="s">
        <v>1545</v>
      </c>
    </row>
    <row r="21" spans="1:6" s="533" customFormat="1" x14ac:dyDescent="0.25">
      <c r="A21" s="534" t="str">
        <f t="shared" si="0"/>
        <v>01-A-016</v>
      </c>
      <c r="B21" s="800" t="str">
        <f t="shared" ca="1" si="1"/>
        <v>The Participation Form</v>
      </c>
      <c r="C21" s="533" t="s">
        <v>2168</v>
      </c>
      <c r="D21" s="533" t="s">
        <v>542</v>
      </c>
      <c r="E21" s="533" t="s">
        <v>1208</v>
      </c>
      <c r="F21" s="533" t="s">
        <v>1546</v>
      </c>
    </row>
    <row r="22" spans="1:6" s="532" customFormat="1" x14ac:dyDescent="0.25">
      <c r="A22" s="535" t="str">
        <f t="shared" si="0"/>
        <v>01-A-017</v>
      </c>
      <c r="B22" s="789" t="str">
        <f t="shared" ca="1" si="1"/>
        <v>The Excel Participation Form</v>
      </c>
      <c r="C22" s="532" t="s">
        <v>534</v>
      </c>
      <c r="D22" s="532" t="s">
        <v>535</v>
      </c>
      <c r="E22" s="532" t="s">
        <v>1209</v>
      </c>
      <c r="F22" s="532" t="s">
        <v>1547</v>
      </c>
    </row>
    <row r="23" spans="1:6" s="553" customFormat="1" x14ac:dyDescent="0.25">
      <c r="A23" s="551" t="str">
        <f t="shared" si="0"/>
        <v>01-A-018</v>
      </c>
      <c r="B23" s="802" t="str">
        <f t="shared" ca="1" si="1"/>
        <v>External Ranking</v>
      </c>
      <c r="C23" s="553" t="s">
        <v>536</v>
      </c>
      <c r="D23" s="553" t="s">
        <v>537</v>
      </c>
      <c r="E23" s="553" t="s">
        <v>1210</v>
      </c>
      <c r="F23" s="553" t="s">
        <v>1548</v>
      </c>
    </row>
    <row r="24" spans="1:6" s="554" customFormat="1" x14ac:dyDescent="0.25">
      <c r="A24" s="552" t="str">
        <f t="shared" si="0"/>
        <v>01-A-019</v>
      </c>
      <c r="B24" s="803" t="str">
        <f t="shared" ca="1" si="1"/>
        <v>Extension Module for the Manager's File</v>
      </c>
      <c r="C24" s="554" t="s">
        <v>539</v>
      </c>
      <c r="D24" s="554" t="s">
        <v>543</v>
      </c>
      <c r="E24" s="554" t="s">
        <v>1211</v>
      </c>
      <c r="F24" s="554" t="s">
        <v>1549</v>
      </c>
    </row>
    <row r="25" spans="1:6" s="553" customFormat="1" x14ac:dyDescent="0.25">
      <c r="A25" s="551" t="str">
        <f t="shared" si="0"/>
        <v>01-A-020</v>
      </c>
      <c r="B25" s="802" t="str">
        <f t="shared" ca="1" si="1"/>
        <v>Update for the Excel EC Pool to version</v>
      </c>
      <c r="C25" s="553" t="s">
        <v>540</v>
      </c>
      <c r="D25" s="553" t="s">
        <v>544</v>
      </c>
      <c r="E25" s="553" t="s">
        <v>1212</v>
      </c>
      <c r="F25" s="553" t="s">
        <v>1550</v>
      </c>
    </row>
    <row r="26" spans="1:6" s="554" customFormat="1" x14ac:dyDescent="0.25">
      <c r="A26" s="552" t="str">
        <f t="shared" si="0"/>
        <v>01-A-021</v>
      </c>
      <c r="B26" s="803" t="str">
        <f t="shared" ca="1" si="1"/>
        <v>Help File fot Excel-pool.nl</v>
      </c>
      <c r="C26" s="554" t="s">
        <v>555</v>
      </c>
      <c r="D26" s="554" t="s">
        <v>556</v>
      </c>
      <c r="E26" s="554" t="s">
        <v>1213</v>
      </c>
      <c r="F26" s="554" t="s">
        <v>1551</v>
      </c>
    </row>
    <row r="27" spans="1:6" s="538" customFormat="1" x14ac:dyDescent="0.25">
      <c r="A27" s="534" t="str">
        <f t="shared" si="0"/>
        <v>01-A-022</v>
      </c>
      <c r="B27" s="788" t="str">
        <f t="shared" ca="1" si="1"/>
        <v>PLEASE NOTE: For optional use of the manager's file, it is recommended to enable the macros.</v>
      </c>
      <c r="C27" s="538" t="s">
        <v>1165</v>
      </c>
      <c r="D27" s="538" t="s">
        <v>552</v>
      </c>
      <c r="E27" s="538" t="s">
        <v>1214</v>
      </c>
      <c r="F27" s="538" t="s">
        <v>1552</v>
      </c>
    </row>
    <row r="28" spans="1:6" s="554" customFormat="1" x14ac:dyDescent="0.25">
      <c r="A28" s="552" t="str">
        <f t="shared" si="0"/>
        <v>01-A-023</v>
      </c>
      <c r="B28" s="803" t="str">
        <f t="shared" ca="1" si="1"/>
        <v>PLEASE NOTE: This module makes use of macros. It's recommended to enable the macros.</v>
      </c>
      <c r="C28" s="554" t="s">
        <v>545</v>
      </c>
      <c r="D28" s="554" t="s">
        <v>553</v>
      </c>
      <c r="E28" s="554" t="s">
        <v>1215</v>
      </c>
      <c r="F28" s="554" t="s">
        <v>1553</v>
      </c>
    </row>
    <row r="29" spans="1:6" s="538" customFormat="1" x14ac:dyDescent="0.25">
      <c r="A29" s="534" t="str">
        <f t="shared" si="0"/>
        <v>01-A-024</v>
      </c>
      <c r="B29" s="788" t="str">
        <f t="shared" ca="1" si="1"/>
        <v>PLEASE NOTE: This form does not contain any rules. Ask your organizer to add these.</v>
      </c>
      <c r="C29" s="538" t="s">
        <v>546</v>
      </c>
      <c r="D29" s="538" t="s">
        <v>604</v>
      </c>
      <c r="E29" s="538" t="s">
        <v>1216</v>
      </c>
      <c r="F29" s="538" t="s">
        <v>1554</v>
      </c>
    </row>
    <row r="30" spans="1:6" s="554" customFormat="1" x14ac:dyDescent="0.25">
      <c r="A30" s="552" t="str">
        <f t="shared" si="0"/>
        <v>01-A-025</v>
      </c>
      <c r="B30" s="803" t="str">
        <f t="shared" ca="1" si="1"/>
        <v>PLEASE NOTE: This module uses macros and is suitable for maximum ### participants.</v>
      </c>
      <c r="C30" s="554" t="s">
        <v>547</v>
      </c>
      <c r="D30" s="554" t="s">
        <v>550</v>
      </c>
      <c r="E30" s="554" t="s">
        <v>1217</v>
      </c>
      <c r="F30" s="554" t="s">
        <v>1555</v>
      </c>
    </row>
    <row r="31" spans="1:6" s="553" customFormat="1" x14ac:dyDescent="0.25">
      <c r="A31" s="551" t="str">
        <f t="shared" si="0"/>
        <v>01-A-026</v>
      </c>
      <c r="B31" s="802" t="str">
        <f t="shared" ca="1" si="1"/>
        <v>PLEASE NOTE: This external ranking uses macros and is suitable for maximum ### participants.</v>
      </c>
      <c r="C31" s="553" t="s">
        <v>548</v>
      </c>
      <c r="D31" s="553" t="s">
        <v>551</v>
      </c>
      <c r="E31" s="553" t="s">
        <v>1218</v>
      </c>
      <c r="F31" s="553" t="s">
        <v>1556</v>
      </c>
    </row>
    <row r="32" spans="1:6" s="554" customFormat="1" x14ac:dyDescent="0.25">
      <c r="A32" s="552" t="str">
        <f t="shared" si="0"/>
        <v>01-A-027</v>
      </c>
      <c r="B32" s="803" t="str">
        <f t="shared" ca="1" si="1"/>
        <v>PLEASE NOTE: This update makes use of macros. It's recommended to enable the macros.</v>
      </c>
      <c r="C32" s="554" t="s">
        <v>549</v>
      </c>
      <c r="D32" s="554" t="s">
        <v>554</v>
      </c>
      <c r="E32" s="554" t="s">
        <v>1219</v>
      </c>
      <c r="F32" s="554" t="s">
        <v>1557</v>
      </c>
    </row>
    <row r="33" spans="1:6" s="541" customFormat="1" x14ac:dyDescent="0.25">
      <c r="A33" s="534" t="str">
        <f t="shared" si="0"/>
        <v>01-A-028</v>
      </c>
      <c r="B33" s="800" t="str">
        <f t="shared" ca="1" si="1"/>
        <v>Participants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Cover</v>
      </c>
      <c r="C36" s="537" t="s">
        <v>557</v>
      </c>
      <c r="D36" s="537" t="s">
        <v>602</v>
      </c>
      <c r="E36" s="537" t="s">
        <v>1221</v>
      </c>
      <c r="F36" s="537" t="s">
        <v>1559</v>
      </c>
    </row>
    <row r="37" spans="1:6" s="538" customFormat="1" x14ac:dyDescent="0.25">
      <c r="A37" s="549" t="str">
        <f t="shared" si="0"/>
        <v>01-A-032</v>
      </c>
      <c r="B37" s="788" t="str">
        <f t="shared" ca="1" si="2"/>
        <v>Rules</v>
      </c>
      <c r="C37" s="538" t="s">
        <v>586</v>
      </c>
      <c r="D37" s="538" t="s">
        <v>603</v>
      </c>
      <c r="E37" s="538" t="s">
        <v>1222</v>
      </c>
      <c r="F37" s="538" t="s">
        <v>1560</v>
      </c>
    </row>
    <row r="38" spans="1:6" s="537" customFormat="1" x14ac:dyDescent="0.25">
      <c r="A38" s="550" t="str">
        <f t="shared" si="0"/>
        <v>01-A-033</v>
      </c>
      <c r="B38" s="787" t="str">
        <f t="shared" ca="1" si="2"/>
        <v>Prize pool</v>
      </c>
      <c r="C38" s="537" t="s">
        <v>587</v>
      </c>
      <c r="D38" s="537" t="s">
        <v>605</v>
      </c>
      <c r="E38" s="537" t="s">
        <v>1223</v>
      </c>
      <c r="F38" s="537" t="s">
        <v>1561</v>
      </c>
    </row>
    <row r="39" spans="1:6" s="538" customFormat="1" x14ac:dyDescent="0.25">
      <c r="A39" s="549" t="str">
        <f t="shared" si="0"/>
        <v>01-A-034</v>
      </c>
      <c r="B39" s="788" t="str">
        <f t="shared" ca="1" si="2"/>
        <v>Group Matches</v>
      </c>
      <c r="C39" s="538" t="s">
        <v>588</v>
      </c>
      <c r="D39" s="538" t="s">
        <v>606</v>
      </c>
      <c r="E39" s="538" t="s">
        <v>1224</v>
      </c>
      <c r="F39" s="538" t="s">
        <v>1562</v>
      </c>
    </row>
    <row r="40" spans="1:6" s="537" customFormat="1" x14ac:dyDescent="0.25">
      <c r="A40" s="550" t="str">
        <f t="shared" si="0"/>
        <v>01-A-035</v>
      </c>
      <c r="B40" s="787" t="str">
        <f t="shared" ca="1" si="2"/>
        <v>Final Ranking Group</v>
      </c>
      <c r="C40" s="537" t="s">
        <v>255</v>
      </c>
      <c r="D40" s="537" t="s">
        <v>896</v>
      </c>
      <c r="E40" s="537" t="s">
        <v>1225</v>
      </c>
      <c r="F40" s="537" t="s">
        <v>1563</v>
      </c>
    </row>
    <row r="41" spans="1:6" s="538" customFormat="1" x14ac:dyDescent="0.25">
      <c r="A41" s="549" t="str">
        <f t="shared" si="0"/>
        <v>01-A-036</v>
      </c>
      <c r="B41" s="788" t="str">
        <f t="shared" ca="1" si="2"/>
        <v>Final Matches</v>
      </c>
      <c r="C41" s="538" t="s">
        <v>589</v>
      </c>
      <c r="D41" s="538" t="s">
        <v>607</v>
      </c>
      <c r="E41" s="538" t="s">
        <v>1226</v>
      </c>
      <c r="F41" s="538" t="s">
        <v>1564</v>
      </c>
    </row>
    <row r="42" spans="1:6" s="537" customFormat="1" x14ac:dyDescent="0.25">
      <c r="A42" s="550" t="str">
        <f t="shared" si="0"/>
        <v>01-A-037</v>
      </c>
      <c r="B42" s="787" t="str">
        <f t="shared" ca="1" si="2"/>
        <v>Bonus Questions</v>
      </c>
      <c r="C42" s="537" t="s">
        <v>99</v>
      </c>
      <c r="D42" s="537" t="s">
        <v>608</v>
      </c>
      <c r="E42" s="537" t="s">
        <v>1227</v>
      </c>
      <c r="F42" s="537" t="s">
        <v>1565</v>
      </c>
    </row>
    <row r="43" spans="1:6" s="538" customFormat="1" x14ac:dyDescent="0.25">
      <c r="A43" s="549" t="str">
        <f t="shared" si="0"/>
        <v>01-A-038</v>
      </c>
      <c r="B43" s="788" t="str">
        <f t="shared" ca="1" si="2"/>
        <v>Participation Code</v>
      </c>
      <c r="C43" s="538" t="s">
        <v>590</v>
      </c>
      <c r="D43" s="538" t="s">
        <v>609</v>
      </c>
      <c r="E43" s="538" t="s">
        <v>1228</v>
      </c>
      <c r="F43" s="538" t="s">
        <v>1566</v>
      </c>
    </row>
    <row r="44" spans="1:6" s="554" customFormat="1" x14ac:dyDescent="0.25">
      <c r="A44" s="552" t="str">
        <f t="shared" si="0"/>
        <v>01-A-039</v>
      </c>
      <c r="B44" s="803" t="str">
        <f t="shared" ca="1" si="2"/>
        <v>Rules Display</v>
      </c>
      <c r="C44" s="554" t="s">
        <v>591</v>
      </c>
      <c r="D44" s="554" t="s">
        <v>610</v>
      </c>
      <c r="E44" s="554" t="s">
        <v>1229</v>
      </c>
      <c r="F44" s="554" t="s">
        <v>1567</v>
      </c>
    </row>
    <row r="45" spans="1:6" s="553" customFormat="1" x14ac:dyDescent="0.25">
      <c r="A45" s="551" t="str">
        <f t="shared" si="0"/>
        <v>01-A-040</v>
      </c>
      <c r="B45" s="802" t="str">
        <f t="shared" ca="1" si="2"/>
        <v>Managers Display</v>
      </c>
      <c r="C45" s="553" t="s">
        <v>592</v>
      </c>
      <c r="D45" s="553" t="s">
        <v>611</v>
      </c>
      <c r="E45" s="553" t="s">
        <v>1230</v>
      </c>
      <c r="F45" s="553" t="s">
        <v>1568</v>
      </c>
    </row>
    <row r="46" spans="1:6" s="554" customFormat="1" x14ac:dyDescent="0.25">
      <c r="A46" s="552" t="str">
        <f t="shared" si="0"/>
        <v>01-A-041</v>
      </c>
      <c r="B46" s="803" t="str">
        <f t="shared" ca="1" si="2"/>
        <v>Results</v>
      </c>
      <c r="C46" s="554" t="s">
        <v>593</v>
      </c>
      <c r="D46" s="554" t="s">
        <v>612</v>
      </c>
      <c r="E46" s="554" t="s">
        <v>1231</v>
      </c>
      <c r="F46" s="554" t="s">
        <v>1569</v>
      </c>
    </row>
    <row r="47" spans="1:6" s="553" customFormat="1" x14ac:dyDescent="0.25">
      <c r="A47" s="551" t="str">
        <f t="shared" si="0"/>
        <v>01-A-042</v>
      </c>
      <c r="B47" s="802" t="str">
        <f t="shared" ca="1" si="2"/>
        <v>Open Questions</v>
      </c>
      <c r="C47" s="553" t="s">
        <v>594</v>
      </c>
      <c r="D47" s="553" t="s">
        <v>613</v>
      </c>
      <c r="E47" s="553" t="s">
        <v>1232</v>
      </c>
      <c r="F47" s="553" t="s">
        <v>1570</v>
      </c>
    </row>
    <row r="48" spans="1:6" s="537" customFormat="1" x14ac:dyDescent="0.25">
      <c r="A48" s="550" t="str">
        <f t="shared" si="0"/>
        <v>01-A-043</v>
      </c>
      <c r="B48" s="787" t="str">
        <f t="shared" ca="1" si="2"/>
        <v>Points Group Matches</v>
      </c>
      <c r="C48" s="537" t="s">
        <v>595</v>
      </c>
      <c r="D48" s="537" t="s">
        <v>614</v>
      </c>
      <c r="E48" s="537" t="s">
        <v>1233</v>
      </c>
      <c r="F48" s="537" t="s">
        <v>1571</v>
      </c>
    </row>
    <row r="49" spans="1:6" s="538" customFormat="1" x14ac:dyDescent="0.25">
      <c r="A49" s="549" t="str">
        <f t="shared" si="0"/>
        <v>01-A-044</v>
      </c>
      <c r="B49" s="788" t="str">
        <f t="shared" ca="1" si="2"/>
        <v>Points Final Ranking Group</v>
      </c>
      <c r="C49" s="538" t="s">
        <v>596</v>
      </c>
      <c r="D49" s="538" t="s">
        <v>897</v>
      </c>
      <c r="E49" s="538" t="s">
        <v>1234</v>
      </c>
      <c r="F49" s="538" t="s">
        <v>1572</v>
      </c>
    </row>
    <row r="50" spans="1:6" s="537" customFormat="1" x14ac:dyDescent="0.25">
      <c r="A50" s="550" t="str">
        <f t="shared" si="0"/>
        <v>01-A-045</v>
      </c>
      <c r="B50" s="787" t="str">
        <f t="shared" ca="1" si="2"/>
        <v>Points Final Matches</v>
      </c>
      <c r="C50" s="537" t="s">
        <v>597</v>
      </c>
      <c r="D50" s="537" t="s">
        <v>615</v>
      </c>
      <c r="E50" s="537" t="s">
        <v>1235</v>
      </c>
      <c r="F50" s="537" t="s">
        <v>1573</v>
      </c>
    </row>
    <row r="51" spans="1:6" s="538" customFormat="1" x14ac:dyDescent="0.25">
      <c r="A51" s="549" t="str">
        <f t="shared" si="0"/>
        <v>01-A-046</v>
      </c>
      <c r="B51" s="788" t="str">
        <f t="shared" ca="1" si="2"/>
        <v>Points Bonus Questions</v>
      </c>
      <c r="C51" s="538" t="s">
        <v>598</v>
      </c>
      <c r="D51" s="538" t="s">
        <v>616</v>
      </c>
      <c r="E51" s="538" t="s">
        <v>1236</v>
      </c>
      <c r="F51" s="538" t="s">
        <v>1574</v>
      </c>
    </row>
    <row r="52" spans="1:6" s="537" customFormat="1" x14ac:dyDescent="0.25">
      <c r="A52" s="550" t="str">
        <f t="shared" si="0"/>
        <v>01-A-047</v>
      </c>
      <c r="B52" s="787" t="str">
        <f t="shared" ca="1" si="2"/>
        <v>Ranking</v>
      </c>
      <c r="C52" s="537" t="s">
        <v>599</v>
      </c>
      <c r="D52" s="537" t="s">
        <v>617</v>
      </c>
      <c r="E52" s="537" t="s">
        <v>1237</v>
      </c>
      <c r="F52" s="537" t="s">
        <v>617</v>
      </c>
    </row>
    <row r="53" spans="1:6" s="538" customFormat="1" x14ac:dyDescent="0.25">
      <c r="A53" s="549" t="str">
        <f t="shared" si="0"/>
        <v>01-A-048</v>
      </c>
      <c r="B53" s="788" t="str">
        <f t="shared" ca="1" si="2"/>
        <v>Predictions</v>
      </c>
      <c r="C53" s="538" t="s">
        <v>600</v>
      </c>
      <c r="D53" s="538" t="s">
        <v>619</v>
      </c>
      <c r="E53" s="538" t="s">
        <v>1238</v>
      </c>
      <c r="F53" s="538" t="s">
        <v>1575</v>
      </c>
    </row>
    <row r="54" spans="1:6" s="554" customFormat="1" x14ac:dyDescent="0.25">
      <c r="A54" s="552" t="str">
        <f t="shared" si="0"/>
        <v>01-A-049</v>
      </c>
      <c r="B54" s="803" t="str">
        <f t="shared" ca="1" si="2"/>
        <v>Notepad</v>
      </c>
      <c r="C54" s="554" t="s">
        <v>601</v>
      </c>
      <c r="D54" s="554" t="s">
        <v>618</v>
      </c>
      <c r="E54" s="554" t="s">
        <v>1239</v>
      </c>
      <c r="F54" s="554" t="s">
        <v>1576</v>
      </c>
    </row>
    <row r="55" spans="1:6" s="553" customFormat="1" x14ac:dyDescent="0.25">
      <c r="A55" s="549" t="str">
        <f t="shared" si="0"/>
        <v>01-A-050</v>
      </c>
      <c r="B55" s="788" t="str">
        <f t="shared" ca="1" si="2"/>
        <v>Setting Up Teams</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36"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 Matches</v>
      </c>
      <c r="BD2" s="1033"/>
      <c r="BE2" s="1033"/>
      <c r="BF2" s="1033"/>
      <c r="BG2" s="1033"/>
    </row>
    <row r="3" spans="1:59" ht="15" customHeight="1" x14ac:dyDescent="0.25">
      <c r="A3" s="173"/>
      <c r="B3" s="17"/>
      <c r="C3" s="974"/>
      <c r="D3" s="989" t="str">
        <f ca="1">Taal04!B7&amp;" - "&amp;Taal04!B10</f>
        <v>Excel Participation Form - Knockout Phase</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The Knockout Phase</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always show the suggestions</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For each final round, predict the countries and the results and enter them on this sheet.</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hide suggestions after completion</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do not display the suggestions</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To help you on your way, you can be given a suggestion based on previous predictions, provided that they have been fully completed. You are not obliged to follow this up.. The predicted final ranking of the groups is used for the round of 16.</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Round of 16</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Poland</v>
      </c>
      <c r="AT11" s="292" t="str">
        <f ca="1">RIGHT(LEFT($AL$88,$BA11),2)</f>
        <v>D1</v>
      </c>
      <c r="AU11" s="291" t="str">
        <f ca="1">IF(AV11=$AR$11,$AQ$11,IF(AV11=$AR$12,$AQ$12,VLOOKUP(AV11,Voorblad!$X$67:$Z$98,2,FALSE)))</f>
        <v>Poland</v>
      </c>
      <c r="AV11" s="292" t="str">
        <f ca="1">RIGHT(LEFT($AL$89,$BA11),2)</f>
        <v>D1</v>
      </c>
      <c r="AW11" s="291" t="str">
        <f ca="1">IF(AX11=$AR$11,$AQ$11,IF(AX11=$AR$12,$AQ$12,VLOOKUP(AX11,Voorblad!$X$67:$Z$98,2,FALSE)))</f>
        <v>Croatia</v>
      </c>
      <c r="AX11" s="292" t="str">
        <f ca="1">RIGHT(LEFT($AL$91,$BA11),2)</f>
        <v>B2</v>
      </c>
      <c r="AY11" s="291" t="str">
        <f ca="1">IF(AZ11=$AR$11,$AQ$11,IF(AZ11=$AR$12,$AQ$12,VLOOKUP(AZ11,Voorblad!$X$67:$Z$98,2,FALSE)))</f>
        <v>Croatia</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 times are Central European Time (UCT + 1)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Turkey</v>
      </c>
      <c r="AT12" s="292" t="str">
        <f t="shared" ref="AT12:AT27" ca="1" si="0">RIGHT(LEFT($AL$88,$BA12),2)</f>
        <v>F1</v>
      </c>
      <c r="AU12" s="291" t="str">
        <f ca="1">IF(AV12=$AR$11,$AQ$11,IF(AV12=$AR$12,$AQ$12,VLOOKUP(AV12,Voorblad!$X$67:$Z$98,2,FALSE)))</f>
        <v>Switzerland</v>
      </c>
      <c r="AV12" s="292" t="str">
        <f t="shared" ref="AV12:AV27" ca="1" si="1">RIGHT(LEFT($AL$89,$BA12),2)</f>
        <v>A4</v>
      </c>
      <c r="AW12" s="291" t="str">
        <f ca="1">IF(AX12=$AR$11,$AQ$11,IF(AX12=$AR$12,$AQ$12,VLOOKUP(AX12,Voorblad!$X$67:$Z$98,2,FALSE)))</f>
        <v>Serbia</v>
      </c>
      <c r="AX12" s="292" t="str">
        <f t="shared" ref="AX12:AX27" ca="1" si="2">RIGHT(LEFT($AL$91,$BA12),2)</f>
        <v>C3</v>
      </c>
      <c r="AY12" s="291" t="str">
        <f ca="1">IF(AZ12=$AR$11,$AQ$11,IF(AZ12=$AR$12,$AQ$12,VLOOKUP(AZ12,Voorblad!$X$67:$Z$98,2,FALSE)))</f>
        <v>Poland</v>
      </c>
      <c r="AZ12" s="292" t="str">
        <f t="shared" ref="AZ12:AZ23" ca="1" si="3">RIGHT(LEFT($AL$92,$BA12),2)</f>
        <v>D1</v>
      </c>
      <c r="BA12" s="672">
        <f t="shared" ref="BA12:BA27" si="4">BA11+2</f>
        <v>4</v>
      </c>
    </row>
    <row r="13" spans="1:59" ht="15" customHeight="1" x14ac:dyDescent="0.25">
      <c r="A13" s="173"/>
      <c r="B13" s="17"/>
      <c r="C13" s="949"/>
      <c r="D13" s="17"/>
      <c r="E13" s="939" t="str">
        <f ca="1">Taal04!$B$20</f>
        <v>Date</v>
      </c>
      <c r="F13" s="939" t="str">
        <f ca="1">Taal04!$B$21</f>
        <v>Time</v>
      </c>
      <c r="G13" s="1204" t="str">
        <f ca="1">Taal04!$B$22</f>
        <v>Match</v>
      </c>
      <c r="H13" s="1204"/>
      <c r="I13" s="1204"/>
      <c r="J13" s="1204"/>
      <c r="K13" s="1204"/>
      <c r="L13" s="1204"/>
      <c r="M13" s="1204"/>
      <c r="N13" s="1204"/>
      <c r="O13" s="1204"/>
      <c r="P13" s="1204"/>
      <c r="Q13" s="1204"/>
      <c r="R13" s="1204"/>
      <c r="S13" s="1204"/>
      <c r="T13" s="1204"/>
      <c r="U13" s="1204"/>
      <c r="V13" s="17"/>
      <c r="W13" s="1116" t="str">
        <f ca="1">Taal04!$B$24</f>
        <v>Score</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Ukraine</v>
      </c>
      <c r="AT13" s="292" t="str">
        <f t="shared" ca="1" si="0"/>
        <v>E4</v>
      </c>
      <c r="AU13" s="291" t="str">
        <f ca="1">IF(AV13=$AR$11,$AQ$11,IF(AV13=$AR$12,$AQ$12,VLOOKUP(AV13,Voorblad!$X$67:$Z$98,2,FALSE)))</f>
        <v>Turkey</v>
      </c>
      <c r="AV13" s="292" t="str">
        <f t="shared" ca="1" si="1"/>
        <v>F1</v>
      </c>
      <c r="AW13" s="291" t="str">
        <f ca="1">IF(AX13=$AR$11,$AQ$11,IF(AX13=$AR$12,$AQ$12,VLOOKUP(AX13,Voorblad!$X$67:$Z$98,2,FALSE)))</f>
        <v>Switzerland</v>
      </c>
      <c r="AX13" s="292" t="str">
        <f t="shared" ca="1" si="2"/>
        <v>A4</v>
      </c>
      <c r="AY13" s="291" t="str">
        <f ca="1">IF(AZ13=$AR$11,$AQ$11,IF(AZ13=$AR$12,$AQ$12,VLOOKUP(AZ13,Voorblad!$X$67:$Z$98,2,FALSE)))</f>
        <v>Serbia</v>
      </c>
      <c r="AZ13" s="292" t="str">
        <f t="shared" ca="1" si="3"/>
        <v>C3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No.2 Group A</v>
      </c>
      <c r="H14" s="1209"/>
      <c r="I14" s="1209"/>
      <c r="J14" s="1209"/>
      <c r="K14" s="1209"/>
      <c r="L14" s="668" t="s">
        <v>2192</v>
      </c>
      <c r="M14" s="12"/>
      <c r="N14" s="666" t="str">
        <f ca="1">IF(AK14="LEEG","▼   ","")&amp;"-  "</f>
        <v xml:space="preserve">-  </v>
      </c>
      <c r="O14" s="1209" t="str">
        <f ca="1">" "&amp;Taal04!$B$75&amp;" B"</f>
        <v xml:space="preserve"> No.2 Group B</v>
      </c>
      <c r="P14" s="1209"/>
      <c r="Q14" s="1209"/>
      <c r="R14" s="1209"/>
      <c r="S14" s="1209"/>
      <c r="T14" s="1209"/>
      <c r="U14" s="667" t="s">
        <v>2194</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A3</v>
      </c>
      <c r="AD14" s="235" t="str">
        <f ca="1">IF(AC14="OO","LEEG",IF(AC14="XX","FOUT",VLOOKUP(AC14,Voorblad!$X$65:$Z$98,3,FALSE)))</f>
        <v>HU</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HUIT12|</v>
      </c>
      <c r="AP14" s="91">
        <f ca="1">LEN(AO14)</f>
        <v>7</v>
      </c>
      <c r="AQ14" s="291" t="str">
        <f ca="1">VLOOKUP(AR14,Voorblad!$X$67:$Z$98,2,FALSE)</f>
        <v>Germany</v>
      </c>
      <c r="AR14" s="292" t="s">
        <v>109</v>
      </c>
      <c r="AS14" s="291" t="str">
        <f ca="1">IF(AT14=$AR$11,$AQ$11,IF(AT14=$AR$12,$AQ$12,VLOOKUP(AT14,Voorblad!$X$67:$Z$98,2,FALSE)))</f>
        <v>────────────────</v>
      </c>
      <c r="AT14" s="292" t="str">
        <f t="shared" ca="1" si="0"/>
        <v>&amp;&amp;</v>
      </c>
      <c r="AU14" s="291" t="str">
        <f ca="1">IF(AV14=$AR$11,$AQ$11,IF(AV14=$AR$12,$AQ$12,VLOOKUP(AV14,Voorblad!$X$67:$Z$98,2,FALSE)))</f>
        <v>Ukraine</v>
      </c>
      <c r="AV14" s="292" t="str">
        <f t="shared" ca="1" si="1"/>
        <v>E4</v>
      </c>
      <c r="AW14" s="291" t="str">
        <f ca="1">IF(AX14=$AR$11,$AQ$11,IF(AX14=$AR$12,$AQ$12,VLOOKUP(AX14,Voorblad!$X$67:$Z$98,2,FALSE)))</f>
        <v>────────────────</v>
      </c>
      <c r="AX14" s="292" t="str">
        <f t="shared" ca="1" si="2"/>
        <v>&amp;&amp;</v>
      </c>
      <c r="AY14" s="291" t="str">
        <f ca="1">IF(AZ14=$AR$11,$AQ$11,IF(AZ14=$AR$12,$AQ$12,VLOOKUP(AZ14,Voorblad!$X$67:$Z$98,2,FALSE)))</f>
        <v>Switzerland</v>
      </c>
      <c r="AZ14" s="292" t="str">
        <f t="shared" ca="1" si="3"/>
        <v>A4</v>
      </c>
      <c r="BA14" s="672">
        <f t="shared" si="4"/>
        <v>8</v>
      </c>
    </row>
    <row r="15" spans="1:59" ht="18.95" customHeight="1" x14ac:dyDescent="0.25">
      <c r="A15" s="173"/>
      <c r="B15" s="17"/>
      <c r="C15" s="949"/>
      <c r="D15" s="17"/>
      <c r="E15" s="17"/>
      <c r="F15" s="17"/>
      <c r="G15" s="1236" t="str">
        <f ca="1">IF($AB$9=1," "&amp;AC15,IF($AB$9=2,IF(AC14="OO"," "&amp;AC15,""),""))</f>
        <v xml:space="preserve"> Hungary</v>
      </c>
      <c r="H15" s="1236"/>
      <c r="I15" s="1236"/>
      <c r="J15" s="1236"/>
      <c r="K15" s="1236"/>
      <c r="L15" s="1236"/>
      <c r="M15" s="17"/>
      <c r="N15" s="17"/>
      <c r="O15" s="1236" t="str">
        <f ca="1">IF($AB$9=1," "&amp;AE15,IF($AB$9=2,IF(AE14="OO"," "&amp;AE15,""),""))</f>
        <v xml:space="preserve"> Italy</v>
      </c>
      <c r="P15" s="1236"/>
      <c r="Q15" s="1236"/>
      <c r="R15" s="1236"/>
      <c r="S15" s="1236"/>
      <c r="T15" s="1236"/>
      <c r="U15" s="1236"/>
      <c r="V15" s="17"/>
      <c r="W15" s="17"/>
      <c r="X15" s="262"/>
      <c r="Y15" s="17"/>
      <c r="Z15" s="60"/>
      <c r="AA15" s="17"/>
      <c r="AB15" s="850"/>
      <c r="AC15" s="1208" t="str">
        <f ca="1">AM86</f>
        <v>Hungary</v>
      </c>
      <c r="AD15" s="1208"/>
      <c r="AE15" s="1208" t="str">
        <f ca="1">AO86</f>
        <v>Italy</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Scotland</v>
      </c>
      <c r="AR15" s="292" t="str">
        <f>AR13&amp;2</f>
        <v>A2</v>
      </c>
      <c r="AS15" s="291" t="str">
        <f ca="1">IF(AT15=$AR$11,$AQ$11,IF(AT15=$AR$12,$AQ$12,VLOOKUP(AT15,Voorblad!$X$67:$Z$98,2,FALSE)))</f>
        <v>Austria</v>
      </c>
      <c r="AT15" s="292" t="str">
        <f t="shared" ca="1" si="0"/>
        <v>D3</v>
      </c>
      <c r="AU15" s="291" t="str">
        <f ca="1">IF(AV15=$AR$11,$AQ$11,IF(AV15=$AR$12,$AQ$12,VLOOKUP(AV15,Voorblad!$X$67:$Z$98,2,FALSE)))</f>
        <v>────────────────</v>
      </c>
      <c r="AV15" s="292" t="str">
        <f t="shared" ca="1" si="1"/>
        <v>&amp;&amp;</v>
      </c>
      <c r="AW15" s="291" t="str">
        <f ca="1">IF(AX15=$AR$11,$AQ$11,IF(AX15=$AR$12,$AQ$12,VLOOKUP(AX15,Voorblad!$X$67:$Z$98,2,FALSE)))</f>
        <v>Albania</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No.1 Group A</v>
      </c>
      <c r="H16" s="1209"/>
      <c r="I16" s="1209"/>
      <c r="J16" s="1209"/>
      <c r="K16" s="1209"/>
      <c r="L16" s="668" t="s">
        <v>572</v>
      </c>
      <c r="M16" s="665"/>
      <c r="N16" s="666" t="str">
        <f ca="1">IF(AK16="LEEG","▼   ","")&amp;"-  "</f>
        <v xml:space="preserve">-  </v>
      </c>
      <c r="O16" s="1209" t="str">
        <f ca="1">" "&amp;Taal04!$B$75&amp;" C"</f>
        <v xml:space="preserve"> No.2 Group C</v>
      </c>
      <c r="P16" s="1209"/>
      <c r="Q16" s="1209"/>
      <c r="R16" s="1209"/>
      <c r="S16" s="1209"/>
      <c r="T16" s="1209"/>
      <c r="U16" s="668" t="s">
        <v>566</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Hungary</v>
      </c>
      <c r="AR16" s="292" t="str">
        <f>AR13&amp;3</f>
        <v>A3</v>
      </c>
      <c r="AS16" s="291" t="str">
        <f ca="1">IF(AT16=$AR$11,$AQ$11,IF(AT16=$AR$12,$AQ$12,VLOOKUP(AT16,Voorblad!$X$67:$Z$98,2,FALSE)))</f>
        <v>Belgium</v>
      </c>
      <c r="AT16" s="292" t="str">
        <f t="shared" ca="1" si="0"/>
        <v>E1</v>
      </c>
      <c r="AU16" s="291" t="str">
        <f ca="1">IF(AV16=$AR$11,$AQ$11,IF(AV16=$AR$12,$AQ$12,VLOOKUP(AV16,Voorblad!$X$67:$Z$98,2,FALSE)))</f>
        <v>Austria</v>
      </c>
      <c r="AV16" s="292" t="str">
        <f t="shared" ca="1" si="1"/>
        <v>D3</v>
      </c>
      <c r="AW16" s="291" t="str">
        <f ca="1">IF(AX16=$AR$11,$AQ$11,IF(AX16=$AR$12,$AQ$12,VLOOKUP(AX16,Voorblad!$X$67:$Z$98,2,FALSE)))</f>
        <v>Denmark</v>
      </c>
      <c r="AX16" s="292" t="str">
        <f t="shared" ca="1" si="2"/>
        <v>C2</v>
      </c>
      <c r="AY16" s="291" t="str">
        <f ca="1">IF(AZ16=$AR$11,$AQ$11,IF(AZ16=$AR$12,$AQ$12,VLOOKUP(AZ16,Voorblad!$X$67:$Z$98,2,FALSE)))</f>
        <v>Albania</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Germany</v>
      </c>
      <c r="H17" s="1236"/>
      <c r="I17" s="1236"/>
      <c r="J17" s="1236"/>
      <c r="K17" s="1236"/>
      <c r="L17" s="1236"/>
      <c r="M17" s="17"/>
      <c r="N17" s="17"/>
      <c r="O17" s="1236" t="str">
        <f ca="1">IF($AB$9=1," "&amp;AE17,IF($AB$9=2,IF(AE16="OO"," "&amp;AE17,""),""))</f>
        <v xml:space="preserve"> Denmark</v>
      </c>
      <c r="P17" s="1236"/>
      <c r="Q17" s="1236"/>
      <c r="R17" s="1236"/>
      <c r="S17" s="1236"/>
      <c r="T17" s="1236"/>
      <c r="U17" s="1236"/>
      <c r="V17" s="17"/>
      <c r="W17" s="17"/>
      <c r="X17" s="262"/>
      <c r="Y17" s="17"/>
      <c r="Z17" s="60"/>
      <c r="AA17" s="17"/>
      <c r="AB17" s="850"/>
      <c r="AC17" s="1208" t="str">
        <f ca="1">AM87</f>
        <v>Germany</v>
      </c>
      <c r="AD17" s="1208"/>
      <c r="AE17" s="1208" t="str">
        <f ca="1">AO87</f>
        <v>Denmark</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Switzerland</v>
      </c>
      <c r="AR17" s="295" t="s">
        <v>112</v>
      </c>
      <c r="AS17" s="291" t="str">
        <f ca="1">IF(AT17=$AR$11,$AQ$11,IF(AT17=$AR$12,$AQ$12,VLOOKUP(AT17,Voorblad!$X$67:$Z$98,2,FALSE)))</f>
        <v>Czech Republic</v>
      </c>
      <c r="AT17" s="292" t="str">
        <f t="shared" ca="1" si="0"/>
        <v>F4</v>
      </c>
      <c r="AU17" s="291" t="str">
        <f ca="1">IF(AV17=$AR$11,$AQ$11,IF(AV17=$AR$12,$AQ$12,VLOOKUP(AV17,Voorblad!$X$67:$Z$98,2,FALSE)))</f>
        <v>Belgium</v>
      </c>
      <c r="AV17" s="292" t="str">
        <f t="shared" ca="1" si="1"/>
        <v>E1</v>
      </c>
      <c r="AW17" s="291" t="str">
        <f ca="1">IF(AX17=$AR$11,$AQ$11,IF(AX17=$AR$12,$AQ$12,VLOOKUP(AX17,Voorblad!$X$67:$Z$98,2,FALSE)))</f>
        <v>England</v>
      </c>
      <c r="AX17" s="292" t="str">
        <f t="shared" ca="1" si="2"/>
        <v>C4</v>
      </c>
      <c r="AY17" s="291" t="str">
        <f ca="1">IF(AZ17=$AR$11,$AQ$11,IF(AZ17=$AR$12,$AQ$12,VLOOKUP(AZ17,Voorblad!$X$67:$Z$98,2,FALSE)))</f>
        <v>Austria</v>
      </c>
      <c r="AZ17" s="292" t="str">
        <f t="shared" ca="1" si="3"/>
        <v>D3</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No.1 Group C</v>
      </c>
      <c r="H18" s="1209"/>
      <c r="I18" s="1209"/>
      <c r="J18" s="1209"/>
      <c r="K18" s="1209"/>
      <c r="L18" s="668" t="s">
        <v>575</v>
      </c>
      <c r="M18" s="665"/>
      <c r="N18" s="666" t="str">
        <f ca="1">IF(AK18="LEEG","▼   ","")&amp;"-  "</f>
        <v xml:space="preserve">-  </v>
      </c>
      <c r="O18" s="1209" t="str">
        <f ca="1">" "&amp;Taal04!$B$76&amp;" D/E/F"</f>
        <v xml:space="preserve"> No.3 Group D/E/F</v>
      </c>
      <c r="P18" s="1209"/>
      <c r="Q18" s="1209"/>
      <c r="R18" s="1209"/>
      <c r="S18" s="1209"/>
      <c r="T18" s="1209"/>
      <c r="U18" s="668" t="s">
        <v>2467</v>
      </c>
      <c r="V18" s="666" t="str">
        <f ca="1">IF(AL18="LEEG","▼   ","")&amp;": "</f>
        <v xml:space="preserve">: </v>
      </c>
      <c r="W18" s="738">
        <v>2</v>
      </c>
      <c r="X18" s="940" t="s">
        <v>12</v>
      </c>
      <c r="Y18" s="738">
        <v>2</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GBPL22|</v>
      </c>
      <c r="AP18" s="91">
        <f ca="1">LEN(AO18)</f>
        <v>7</v>
      </c>
      <c r="AQ18" s="287"/>
      <c r="AR18" s="289" t="s">
        <v>3</v>
      </c>
      <c r="AS18" s="291" t="str">
        <f ca="1">IF(AT18=$AR$11,$AQ$11,IF(AT18=$AR$12,$AQ$12,VLOOKUP(AT18,Voorblad!$X$67:$Z$98,2,FALSE)))</f>
        <v>France</v>
      </c>
      <c r="AT18" s="292" t="str">
        <f t="shared" ca="1" si="0"/>
        <v>D4</v>
      </c>
      <c r="AU18" s="291" t="str">
        <f ca="1">IF(AV18=$AR$11,$AQ$11,IF(AV18=$AR$12,$AQ$12,VLOOKUP(AV18,Voorblad!$X$67:$Z$98,2,FALSE)))</f>
        <v>Czech Republic</v>
      </c>
      <c r="AV18" s="292" t="str">
        <f t="shared" ca="1" si="1"/>
        <v>F4</v>
      </c>
      <c r="AW18" s="291" t="str">
        <f ca="1">IF(AX18=$AR$11,$AQ$11,IF(AX18=$AR$12,$AQ$12,VLOOKUP(AX18,Voorblad!$X$67:$Z$98,2,FALSE)))</f>
        <v>Germany</v>
      </c>
      <c r="AX18" s="292" t="str">
        <f t="shared" ca="1" si="2"/>
        <v>A1</v>
      </c>
      <c r="AY18" s="291" t="str">
        <f ca="1">IF(AZ18=$AR$11,$AQ$11,IF(AZ18=$AR$12,$AQ$12,VLOOKUP(AZ18,Voorblad!$X$67:$Z$98,2,FALSE)))</f>
        <v>Denmark</v>
      </c>
      <c r="AZ18" s="292" t="str">
        <f t="shared" ca="1" si="3"/>
        <v>C2</v>
      </c>
      <c r="BA18" s="672">
        <f t="shared" si="4"/>
        <v>16</v>
      </c>
    </row>
    <row r="19" spans="1:53" ht="18.95" customHeight="1" x14ac:dyDescent="0.25">
      <c r="A19" s="173"/>
      <c r="B19" s="17"/>
      <c r="C19" s="949"/>
      <c r="D19" s="17"/>
      <c r="E19" s="17"/>
      <c r="F19" s="17"/>
      <c r="G19" s="1236" t="str">
        <f ca="1">IF($AB$9=1," "&amp;AC19,IF($AB$9=2,IF(AC18="OO"," "&amp;AC19,""),""))</f>
        <v xml:space="preserve"> England</v>
      </c>
      <c r="H19" s="1236"/>
      <c r="I19" s="1236"/>
      <c r="J19" s="1236"/>
      <c r="K19" s="1236"/>
      <c r="L19" s="1236"/>
      <c r="M19" s="17"/>
      <c r="N19" s="17"/>
      <c r="O19" s="1236" t="str">
        <f ca="1">IF($AB$9=1," "&amp;AE19,IF($AB$9=2,IF(AE18="OO"," "&amp;AE19,""),""))</f>
        <v xml:space="preserve"> Poland / Turkey / Ukraine</v>
      </c>
      <c r="P19" s="1236"/>
      <c r="Q19" s="1236"/>
      <c r="R19" s="1236"/>
      <c r="S19" s="1236"/>
      <c r="T19" s="1236"/>
      <c r="U19" s="1236"/>
      <c r="V19" s="17"/>
      <c r="W19" s="17"/>
      <c r="X19" s="262"/>
      <c r="Y19" s="17"/>
      <c r="Z19" s="60"/>
      <c r="AA19" s="17"/>
      <c r="AB19" s="850"/>
      <c r="AC19" s="1208" t="str">
        <f ca="1">AM88</f>
        <v>England</v>
      </c>
      <c r="AD19" s="1208"/>
      <c r="AE19" s="1208" t="str">
        <f ca="1">AO88</f>
        <v>Poland / Turkey / Ukraine</v>
      </c>
      <c r="AF19" s="1208"/>
      <c r="AG19" s="716" t="str">
        <f ca="1">IF(AO18="FOUT","",IF(W18&gt;Y18,AC18,IF(W18&lt;Y18,AE18,AC18&amp;AE18)))</f>
        <v>C4D1</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Spain</v>
      </c>
      <c r="AR19" s="292" t="str">
        <f>AR18&amp;1</f>
        <v>B1</v>
      </c>
      <c r="AS19" s="291" t="str">
        <f ca="1">IF(AT19=$AR$11,$AQ$11,IF(AT19=$AR$12,$AQ$12,VLOOKUP(AT19,Voorblad!$X$67:$Z$98,2,FALSE)))</f>
        <v>Georgia</v>
      </c>
      <c r="AT19" s="292" t="str">
        <f t="shared" ca="1" si="0"/>
        <v>F2</v>
      </c>
      <c r="AU19" s="291" t="str">
        <f ca="1">IF(AV19=$AR$11,$AQ$11,IF(AV19=$AR$12,$AQ$12,VLOOKUP(AV19,Voorblad!$X$67:$Z$98,2,FALSE)))</f>
        <v>France</v>
      </c>
      <c r="AV19" s="292" t="str">
        <f t="shared" ca="1" si="1"/>
        <v>D4</v>
      </c>
      <c r="AW19" s="291" t="str">
        <f ca="1">IF(AX19=$AR$11,$AQ$11,IF(AX19=$AR$12,$AQ$12,VLOOKUP(AX19,Voorblad!$X$67:$Z$98,2,FALSE)))</f>
        <v>Hungary</v>
      </c>
      <c r="AX19" s="292" t="str">
        <f t="shared" ca="1" si="2"/>
        <v>A3</v>
      </c>
      <c r="AY19" s="291" t="str">
        <f ca="1">IF(AZ19=$AR$11,$AQ$11,IF(AZ19=$AR$12,$AQ$12,VLOOKUP(AZ19,Voorblad!$X$67:$Z$98,2,FALSE)))</f>
        <v>England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No.1 Group B</v>
      </c>
      <c r="H20" s="1209"/>
      <c r="I20" s="1209"/>
      <c r="J20" s="1209"/>
      <c r="K20" s="1209"/>
      <c r="L20" s="667" t="s">
        <v>563</v>
      </c>
      <c r="M20" s="665"/>
      <c r="N20" s="666" t="str">
        <f ca="1">IF(AK20="LEEG","▼   ","")&amp;"-  "</f>
        <v xml:space="preserve">-  </v>
      </c>
      <c r="O20" s="1209" t="str">
        <f ca="1">" "&amp;Taal04!$B$76&amp;" A/D/E/F"</f>
        <v xml:space="preserve"> No.3 Group A/D/E/F</v>
      </c>
      <c r="P20" s="1209"/>
      <c r="Q20" s="1209"/>
      <c r="R20" s="1209"/>
      <c r="S20" s="1209"/>
      <c r="T20" s="1209"/>
      <c r="U20" s="668" t="s">
        <v>570</v>
      </c>
      <c r="V20" s="666" t="str">
        <f ca="1">IF(AL20="LEEG","▼   ","")&amp;": "</f>
        <v xml:space="preserve">: </v>
      </c>
      <c r="W20" s="738">
        <v>2</v>
      </c>
      <c r="X20" s="940" t="s">
        <v>12</v>
      </c>
      <c r="Y20" s="738">
        <v>1</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A4</v>
      </c>
      <c r="AF20" s="235" t="str">
        <f ca="1">IF(AE20="OO","LEEG",IF(AE20="XX","FOUT",VLOOKUP(AE20,Voorblad!$X$65:$Z$98,3,FALSE)))</f>
        <v>CH</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ESCH21|</v>
      </c>
      <c r="AP20" s="91">
        <f ca="1">LEN(AO20)</f>
        <v>7</v>
      </c>
      <c r="AQ20" s="291" t="str">
        <f ca="1">VLOOKUP(AR20,Voorblad!$X$67:$Z$98,2,FALSE)</f>
        <v>Croatia</v>
      </c>
      <c r="AR20" s="292" t="str">
        <f>AR18&amp;2</f>
        <v>B2</v>
      </c>
      <c r="AS20" s="291" t="str">
        <f ca="1">IF(AT20=$AR$11,$AQ$11,IF(AT20=$AR$12,$AQ$12,VLOOKUP(AT20,Voorblad!$X$67:$Z$98,2,FALSE)))</f>
        <v>Netherlands</v>
      </c>
      <c r="AT20" s="292" t="str">
        <f t="shared" ca="1" si="0"/>
        <v>D2</v>
      </c>
      <c r="AU20" s="291" t="str">
        <f ca="1">IF(AV20=$AR$11,$AQ$11,IF(AV20=$AR$12,$AQ$12,VLOOKUP(AV20,Voorblad!$X$67:$Z$98,2,FALSE)))</f>
        <v>Georgia</v>
      </c>
      <c r="AV20" s="292" t="str">
        <f t="shared" ca="1" si="1"/>
        <v>F2</v>
      </c>
      <c r="AW20" s="291" t="str">
        <f ca="1">IF(AX20=$AR$11,$AQ$11,IF(AX20=$AR$12,$AQ$12,VLOOKUP(AX20,Voorblad!$X$67:$Z$98,2,FALSE)))</f>
        <v>Italy</v>
      </c>
      <c r="AX20" s="292" t="str">
        <f t="shared" ca="1" si="2"/>
        <v>B3</v>
      </c>
      <c r="AY20" s="291" t="str">
        <f ca="1">IF(AZ20=$AR$11,$AQ$11,IF(AZ20=$AR$12,$AQ$12,VLOOKUP(AZ20,Voorblad!$X$67:$Z$98,2,FALSE)))</f>
        <v>France</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Spain</v>
      </c>
      <c r="H21" s="1236"/>
      <c r="I21" s="1236"/>
      <c r="J21" s="1236"/>
      <c r="K21" s="1236"/>
      <c r="L21" s="1236"/>
      <c r="M21" s="17"/>
      <c r="N21" s="17"/>
      <c r="O21" s="1236" t="str">
        <f ca="1">IF($AB$9=1," "&amp;AE21,IF($AB$9=2,IF(AE20="OO"," "&amp;AE21,""),""))</f>
        <v xml:space="preserve"> Poland / Switzerland / Turkey / Ukraine</v>
      </c>
      <c r="P21" s="1236"/>
      <c r="Q21" s="1236"/>
      <c r="R21" s="1236"/>
      <c r="S21" s="1236"/>
      <c r="T21" s="1236"/>
      <c r="U21" s="1236"/>
      <c r="V21" s="17"/>
      <c r="W21" s="17"/>
      <c r="X21" s="17"/>
      <c r="Y21" s="17"/>
      <c r="Z21" s="958"/>
      <c r="AA21" s="17"/>
      <c r="AB21" s="850"/>
      <c r="AC21" s="1208" t="str">
        <f ca="1">AM89</f>
        <v>Spain</v>
      </c>
      <c r="AD21" s="1208"/>
      <c r="AE21" s="1208" t="str">
        <f ca="1">AO89</f>
        <v>Poland / Switzerland / Turkey / Ukraine</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Italy</v>
      </c>
      <c r="AR21" s="292" t="str">
        <f>AR18&amp;3</f>
        <v>B3</v>
      </c>
      <c r="AS21" s="291" t="str">
        <f ca="1">IF(AT21=$AR$11,$AQ$11,IF(AT21=$AR$12,$AQ$12,VLOOKUP(AT21,Voorblad!$X$67:$Z$98,2,FALSE)))</f>
        <v>Portugal</v>
      </c>
      <c r="AT21" s="292" t="str">
        <f t="shared" ca="1" si="0"/>
        <v>F3</v>
      </c>
      <c r="AU21" s="291" t="str">
        <f ca="1">IF(AV21=$AR$11,$AQ$11,IF(AV21=$AR$12,$AQ$12,VLOOKUP(AV21,Voorblad!$X$67:$Z$98,2,FALSE)))</f>
        <v>Germany</v>
      </c>
      <c r="AV21" s="292" t="str">
        <f t="shared" ca="1" si="1"/>
        <v>A1</v>
      </c>
      <c r="AW21" s="291" t="str">
        <f ca="1">IF(AX21=$AR$11,$AQ$11,IF(AX21=$AR$12,$AQ$12,VLOOKUP(AX21,Voorblad!$X$67:$Z$98,2,FALSE)))</f>
        <v>Scotland</v>
      </c>
      <c r="AX21" s="292" t="str">
        <f t="shared" ca="1" si="2"/>
        <v>A2</v>
      </c>
      <c r="AY21" s="291" t="str">
        <f ca="1">IF(AZ21=$AR$11,$AQ$11,IF(AZ21=$AR$12,$AQ$12,VLOOKUP(AZ21,Voorblad!$X$67:$Z$98,2,FALSE)))</f>
        <v>Germany</v>
      </c>
      <c r="AZ21" s="292" t="str">
        <f t="shared" ca="1" si="3"/>
        <v>A1</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No.2 Group D</v>
      </c>
      <c r="H22" s="1209"/>
      <c r="I22" s="1209"/>
      <c r="J22" s="1209"/>
      <c r="K22" s="1209"/>
      <c r="L22" s="667" t="s">
        <v>565</v>
      </c>
      <c r="M22" s="665"/>
      <c r="N22" s="666" t="str">
        <f ca="1">IF(AK22="LEEG","▼   ","")&amp;"-  "</f>
        <v xml:space="preserve">-  </v>
      </c>
      <c r="O22" s="1209" t="str">
        <f ca="1">" "&amp;Taal04!$B$75&amp;" E"</f>
        <v xml:space="preserve"> No.2 Group E</v>
      </c>
      <c r="P22" s="1209"/>
      <c r="Q22" s="1209"/>
      <c r="R22" s="1209"/>
      <c r="S22" s="1209"/>
      <c r="T22" s="1209"/>
      <c r="U22" s="667" t="s">
        <v>574</v>
      </c>
      <c r="V22" s="666" t="str">
        <f ca="1">IF(AL22="LEEG","▼   ","")&amp;": "</f>
        <v xml:space="preserve">: </v>
      </c>
      <c r="W22" s="738">
        <v>3</v>
      </c>
      <c r="X22" s="940" t="s">
        <v>12</v>
      </c>
      <c r="Y22" s="738">
        <v>0</v>
      </c>
      <c r="Z22" s="958"/>
      <c r="AA22" s="17"/>
      <c r="AB22" s="851">
        <f>IF(AND(AM22="GOED",AN22="GOED"),W22+Y22,0)</f>
        <v>3</v>
      </c>
      <c r="AC22" s="271" t="str">
        <f ca="1">IF(OR(L22="",ISBLANK(L22)),"OO",IF(TYPE(VLOOKUP(L22,Taal02!$C$100:$D$419,2,FALSE))=16,"XX",VLOOKUP(L22,Taal02!$C$100:$D$419,2,FALSE)))</f>
        <v>D4</v>
      </c>
      <c r="AD22" s="235" t="str">
        <f ca="1">IF(AC22="OO","LEEG",IF(AC22="XX","FOUT",VLOOKUP(AC22,Voorblad!$X$65:$Z$98,3,FALSE)))</f>
        <v>FR</v>
      </c>
      <c r="AE22" s="271" t="str">
        <f ca="1">IF(OR(U22="",ISBLANK(U22)),"OO",IF(TYPE(VLOOKUP(U22,Taal02!$C$100:$D$419,2,FALSE))=16,"XX",VLOOKUP(U22,Taal02!$C$100:$D$419,2,FALSE)))</f>
        <v>E1</v>
      </c>
      <c r="AF22" s="235" t="str">
        <f ca="1">IF(AE22="OO","LEEG",IF(AE22="XX","FOUT",VLOOKUP(AE22,Voorblad!$X$65:$Z$98,3,FALSE)))</f>
        <v>BE</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FRBE30|</v>
      </c>
      <c r="AP22" s="91">
        <f ca="1">LEN(AO22)</f>
        <v>7</v>
      </c>
      <c r="AQ22" s="293" t="str">
        <f ca="1">VLOOKUP(AR22,Voorblad!$X$67:$Z$98,2,FALSE)</f>
        <v>Albania</v>
      </c>
      <c r="AR22" s="295" t="str">
        <f>AR18&amp;4</f>
        <v>B4</v>
      </c>
      <c r="AS22" s="291" t="str">
        <f ca="1">IF(AT22=$AR$11,$AQ$11,IF(AT22=$AR$12,$AQ$12,VLOOKUP(AT22,Voorblad!$X$67:$Z$98,2,FALSE)))</f>
        <v>Romania</v>
      </c>
      <c r="AT22" s="292" t="str">
        <f t="shared" ca="1" si="0"/>
        <v>E3</v>
      </c>
      <c r="AU22" s="291" t="str">
        <f ca="1">IF(AV22=$AR$11,$AQ$11,IF(AV22=$AR$12,$AQ$12,VLOOKUP(AV22,Voorblad!$X$67:$Z$98,2,FALSE)))</f>
        <v>Hungary</v>
      </c>
      <c r="AV22" s="292" t="str">
        <f t="shared" ca="1" si="1"/>
        <v>A3</v>
      </c>
      <c r="AW22" s="291" t="str">
        <f ca="1">IF(AX22=$AR$11,$AQ$11,IF(AX22=$AR$12,$AQ$12,VLOOKUP(AX22,Voorblad!$X$67:$Z$98,2,FALSE)))</f>
        <v>Slovenia</v>
      </c>
      <c r="AX22" s="292" t="str">
        <f t="shared" ca="1" si="2"/>
        <v>C1</v>
      </c>
      <c r="AY22" s="291" t="str">
        <f ca="1">IF(AZ22=$AR$11,$AQ$11,IF(AZ22=$AR$12,$AQ$12,VLOOKUP(AZ22,Voorblad!$X$67:$Z$98,2,FALSE)))</f>
        <v>Hungary</v>
      </c>
      <c r="AZ22" s="292" t="str">
        <f t="shared" ca="1" si="3"/>
        <v>A3</v>
      </c>
      <c r="BA22" s="672">
        <f t="shared" si="4"/>
        <v>24</v>
      </c>
    </row>
    <row r="23" spans="1:53" ht="18.95" customHeight="1" x14ac:dyDescent="0.25">
      <c r="A23" s="173"/>
      <c r="B23" s="17"/>
      <c r="C23" s="949"/>
      <c r="D23" s="17"/>
      <c r="E23" s="17"/>
      <c r="F23" s="17"/>
      <c r="G23" s="1236" t="str">
        <f ca="1">IF($AB$9=1," "&amp;AC23,IF($AB$9=2,IF(AC22="OO"," "&amp;AC23,""),""))</f>
        <v xml:space="preserve"> France</v>
      </c>
      <c r="H23" s="1236"/>
      <c r="I23" s="1236"/>
      <c r="J23" s="1236"/>
      <c r="K23" s="1236"/>
      <c r="L23" s="1236"/>
      <c r="M23" s="17"/>
      <c r="N23" s="17"/>
      <c r="O23" s="1236" t="str">
        <f ca="1">IF($AB$9=1," "&amp;AE23,IF($AB$9=2,IF(AE22="OO"," "&amp;AE23,""),""))</f>
        <v xml:space="preserve"> Belgium</v>
      </c>
      <c r="P23" s="1236"/>
      <c r="Q23" s="1236"/>
      <c r="R23" s="1236"/>
      <c r="S23" s="1236"/>
      <c r="T23" s="1236"/>
      <c r="U23" s="1236"/>
      <c r="V23" s="17"/>
      <c r="W23" s="17"/>
      <c r="X23" s="262"/>
      <c r="Y23" s="17"/>
      <c r="Z23" s="958"/>
      <c r="AA23" s="17"/>
      <c r="AB23" s="850"/>
      <c r="AC23" s="1208" t="str">
        <f ca="1">AM90</f>
        <v>France</v>
      </c>
      <c r="AD23" s="1208"/>
      <c r="AE23" s="1208" t="str">
        <f ca="1">AO90</f>
        <v>Belgium</v>
      </c>
      <c r="AF23" s="1208"/>
      <c r="AG23" s="716" t="str">
        <f ca="1">IF(AO22="FOUT","",IF(W22&gt;Y22,AC22,IF(W22&lt;Y22,AE22,AC22&amp;AE22)))</f>
        <v>D4</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Slovakia</v>
      </c>
      <c r="AT23" s="292" t="str">
        <f t="shared" ca="1" si="0"/>
        <v>E2</v>
      </c>
      <c r="AU23" s="291" t="str">
        <f ca="1">IF(AV23=$AR$11,$AQ$11,IF(AV23=$AR$12,$AQ$12,VLOOKUP(AV23,Voorblad!$X$67:$Z$98,2,FALSE)))</f>
        <v>Netherlands</v>
      </c>
      <c r="AV23" s="292" t="str">
        <f t="shared" ca="1" si="1"/>
        <v>D2</v>
      </c>
      <c r="AW23" s="291" t="str">
        <f ca="1">IF(AX23=$AR$11,$AQ$11,IF(AX23=$AR$12,$AQ$12,VLOOKUP(AX23,Voorblad!$X$67:$Z$98,2,FALSE)))</f>
        <v>Spain</v>
      </c>
      <c r="AX23" s="292" t="str">
        <f t="shared" ca="1" si="2"/>
        <v>B1</v>
      </c>
      <c r="AY23" s="291" t="str">
        <f ca="1">IF(AZ23=$AR$11,$AQ$11,IF(AZ23=$AR$12,$AQ$12,VLOOKUP(AZ23,Voorblad!$X$67:$Z$98,2,FALSE)))</f>
        <v>Italy</v>
      </c>
      <c r="AZ23" s="292" t="str">
        <f t="shared" ca="1" si="3"/>
        <v>B3</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No.1 Group F</v>
      </c>
      <c r="H24" s="1209"/>
      <c r="I24" s="1209"/>
      <c r="J24" s="1209"/>
      <c r="K24" s="1209"/>
      <c r="L24" s="667" t="s">
        <v>466</v>
      </c>
      <c r="M24" s="665"/>
      <c r="N24" s="666" t="str">
        <f ca="1">IF(AK24="LEEG","▼   ","")&amp;"-  "</f>
        <v xml:space="preserve">-  </v>
      </c>
      <c r="O24" s="1209" t="str">
        <f ca="1">" "&amp;Taal04!$B$76&amp;" A/B/C"</f>
        <v xml:space="preserve"> No.3 Group A/B/C</v>
      </c>
      <c r="P24" s="1209"/>
      <c r="Q24" s="1209"/>
      <c r="R24" s="1209"/>
      <c r="S24" s="1209"/>
      <c r="T24" s="1209"/>
      <c r="U24" s="668" t="s">
        <v>568</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Slovenia</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Netherlands</v>
      </c>
      <c r="AZ24" s="292" t="str">
        <f ca="1">RIGHT(LEFT($AL$92,$BA24),2)</f>
        <v>D2</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Croatia / Serbia / Switzerland</v>
      </c>
      <c r="P25" s="1236"/>
      <c r="Q25" s="1236"/>
      <c r="R25" s="1236"/>
      <c r="S25" s="1236"/>
      <c r="T25" s="1236"/>
      <c r="U25" s="1236"/>
      <c r="V25" s="17"/>
      <c r="W25" s="17"/>
      <c r="X25" s="262"/>
      <c r="Y25" s="17"/>
      <c r="Z25" s="958"/>
      <c r="AA25" s="17"/>
      <c r="AB25" s="850"/>
      <c r="AC25" s="1208" t="str">
        <f ca="1">AM91</f>
        <v>Portugal</v>
      </c>
      <c r="AD25" s="1208"/>
      <c r="AE25" s="1208" t="str">
        <f ca="1">AO91</f>
        <v>Croatia / Serbia / Switzerland</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Denmark</v>
      </c>
      <c r="AR25" s="292" t="str">
        <f>AR23&amp;2</f>
        <v>C2</v>
      </c>
      <c r="AS25" s="291" t="str">
        <f ca="1">IF(AT25=$AR$11,$AQ$11,IF(AT25=$AR$12,$AQ$12,VLOOKUP(AT25,Voorblad!$X$67:$Z$98,2,FALSE)))</f>
        <v/>
      </c>
      <c r="AT25" s="292" t="str">
        <f t="shared" ca="1" si="0"/>
        <v>??</v>
      </c>
      <c r="AU25" s="291" t="str">
        <f ca="1">IF(AV25=$AR$11,$AQ$11,IF(AV25=$AR$12,$AQ$12,VLOOKUP(AV25,Voorblad!$X$67:$Z$98,2,FALSE)))</f>
        <v>Romania</v>
      </c>
      <c r="AV25" s="292" t="str">
        <f t="shared" ca="1" si="1"/>
        <v>E3</v>
      </c>
      <c r="AW25" s="291" t="str">
        <f ca="1">IF(AX25=$AR$11,$AQ$11,IF(AX25=$AR$12,$AQ$12,VLOOKUP(AX25,Voorblad!$X$67:$Z$98,2,FALSE)))</f>
        <v/>
      </c>
      <c r="AX25" s="292" t="str">
        <f t="shared" ca="1" si="2"/>
        <v>??</v>
      </c>
      <c r="AY25" s="291" t="str">
        <f ca="1">IF(AZ25=$AR$11,$AQ$11,IF(AZ25=$AR$12,$AQ$12,VLOOKUP(AZ25,Voorblad!$X$67:$Z$98,2,FALSE)))</f>
        <v>Scotland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No.1 Group E</v>
      </c>
      <c r="H26" s="1209"/>
      <c r="I26" s="1209"/>
      <c r="J26" s="1209"/>
      <c r="K26" s="1209"/>
      <c r="L26" s="667" t="s">
        <v>2199</v>
      </c>
      <c r="M26" s="665"/>
      <c r="N26" s="666" t="str">
        <f ca="1">IF(AK26="LEEG","▼   ","")&amp;"-  "</f>
        <v xml:space="preserve">-  </v>
      </c>
      <c r="O26" s="1209" t="str">
        <f ca="1">" "&amp;Taal04!$B$76&amp;" A/B/C/D"</f>
        <v xml:space="preserve"> No.3 Group A/B/C/D</v>
      </c>
      <c r="P26" s="1209"/>
      <c r="Q26" s="1209"/>
      <c r="R26" s="1209"/>
      <c r="S26" s="1209"/>
      <c r="T26" s="1209"/>
      <c r="U26" s="667" t="s">
        <v>1854</v>
      </c>
      <c r="V26" s="666" t="str">
        <f ca="1">IF(AL26="LEEG","▼   ","")&amp;": "</f>
        <v xml:space="preserve">: </v>
      </c>
      <c r="W26" s="738">
        <v>2</v>
      </c>
      <c r="X26" s="940" t="s">
        <v>12</v>
      </c>
      <c r="Y26" s="738">
        <v>2</v>
      </c>
      <c r="Z26" s="958"/>
      <c r="AA26" s="17"/>
      <c r="AB26" s="851">
        <f>IF(AND(AM26="GOED",AN26="GOED"),W26+Y26,0)</f>
        <v>4</v>
      </c>
      <c r="AC26" s="271" t="str">
        <f ca="1">IF(OR(L26="",ISBLANK(L26)),"OO",IF(TYPE(VLOOKUP(L26,Taal02!$C$100:$D$419,2,FALSE))=16,"XX",VLOOKUP(L26,Taal02!$C$100:$D$419,2,FALSE)))</f>
        <v>E2</v>
      </c>
      <c r="AD26" s="235" t="str">
        <f ca="1">IF(AC26="OO","LEEG",IF(AC26="XX","FOUT",VLOOKUP(AC26,Voorblad!$X$65:$Z$98,3,FALSE)))</f>
        <v>SK</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SKRS22|</v>
      </c>
      <c r="AP26" s="91">
        <f ca="1">LEN(AO26)</f>
        <v>7</v>
      </c>
      <c r="AQ26" s="291" t="str">
        <f ca="1">VLOOKUP(AR26,Voorblad!$X$67:$Z$98,2,FALSE)</f>
        <v>Serbia</v>
      </c>
      <c r="AR26" s="292" t="str">
        <f>AR23&amp;3</f>
        <v>C3</v>
      </c>
      <c r="AS26" s="291" t="str">
        <f ca="1">IF(AT26=$AR$11,$AQ$11,IF(AT26=$AR$12,$AQ$12,VLOOKUP(AT26,Voorblad!$X$67:$Z$98,2,FALSE)))</f>
        <v/>
      </c>
      <c r="AT26" s="292" t="str">
        <f t="shared" ca="1" si="0"/>
        <v>??</v>
      </c>
      <c r="AU26" s="291" t="str">
        <f ca="1">IF(AV26=$AR$11,$AQ$11,IF(AV26=$AR$12,$AQ$12,VLOOKUP(AV26,Voorblad!$X$67:$Z$98,2,FALSE)))</f>
        <v>Scotland</v>
      </c>
      <c r="AV26" s="292" t="str">
        <f t="shared" ca="1" si="1"/>
        <v>A2</v>
      </c>
      <c r="AW26" s="291" t="str">
        <f ca="1">IF(AX26=$AR$11,$AQ$11,IF(AX26=$AR$12,$AQ$12,VLOOKUP(AX26,Voorblad!$X$67:$Z$98,2,FALSE)))</f>
        <v/>
      </c>
      <c r="AX26" s="292" t="str">
        <f t="shared" ca="1" si="2"/>
        <v>??</v>
      </c>
      <c r="AY26" s="291" t="str">
        <f ca="1">IF(AZ26=$AR$11,$AQ$11,IF(AZ26=$AR$12,$AQ$12,VLOOKUP(AZ26,Voorblad!$X$67:$Z$98,2,FALSE)))</f>
        <v>Slovenia</v>
      </c>
      <c r="AZ26" s="292" t="str">
        <f ca="1">RIGHT(LEFT($AL$92,$BA26),2)</f>
        <v>C1</v>
      </c>
      <c r="BA26" s="672">
        <f t="shared" si="4"/>
        <v>32</v>
      </c>
    </row>
    <row r="27" spans="1:53" ht="18.95" customHeight="1" x14ac:dyDescent="0.25">
      <c r="A27" s="173"/>
      <c r="B27" s="17"/>
      <c r="C27" s="949"/>
      <c r="D27" s="17"/>
      <c r="E27" s="17"/>
      <c r="F27" s="17"/>
      <c r="G27" s="1236" t="str">
        <f ca="1">IF($AB$9=1," "&amp;AC27,IF($AB$9=2,IF(AC26="OO"," "&amp;AC27,""),""))</f>
        <v xml:space="preserve"> Slovakia</v>
      </c>
      <c r="H27" s="1236"/>
      <c r="I27" s="1236"/>
      <c r="J27" s="1236"/>
      <c r="K27" s="1236"/>
      <c r="L27" s="1236"/>
      <c r="M27" s="17"/>
      <c r="N27" s="17"/>
      <c r="O27" s="1236" t="str">
        <f ca="1">IF($AB$9=1," "&amp;AE27,IF($AB$9=2,IF(AE26="OO"," "&amp;AE27,""),""))</f>
        <v xml:space="preserve"> Croatia / Poland / Serbia / Switzerland</v>
      </c>
      <c r="P27" s="1236"/>
      <c r="Q27" s="1236"/>
      <c r="R27" s="1236"/>
      <c r="S27" s="1236"/>
      <c r="T27" s="1236"/>
      <c r="U27" s="1236"/>
      <c r="V27" s="17"/>
      <c r="W27" s="17"/>
      <c r="X27" s="262"/>
      <c r="Y27" s="17"/>
      <c r="Z27" s="958"/>
      <c r="AA27" s="17"/>
      <c r="AB27" s="850"/>
      <c r="AC27" s="1208" t="str">
        <f ca="1">AM92</f>
        <v>Slovakia</v>
      </c>
      <c r="AD27" s="1208"/>
      <c r="AE27" s="1208" t="str">
        <f ca="1">AO92</f>
        <v>Croatia / Poland / Serbia / Switzerland</v>
      </c>
      <c r="AF27" s="1208"/>
      <c r="AG27" s="716" t="str">
        <f ca="1">IF(AO26="FOUT","",IF(W26&gt;Y26,AC26,IF(W26&lt;Y26,AE26,AC26&amp;AE26)))</f>
        <v>E2C3</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England</v>
      </c>
      <c r="AR27" s="295" t="str">
        <f>AR23&amp;4</f>
        <v>C4</v>
      </c>
      <c r="AS27" s="291" t="str">
        <f ca="1">IF(AT27=$AR$11,$AQ$11,IF(AT27=$AR$12,$AQ$12,VLOOKUP(AT27,Voorblad!$X$67:$Z$98,2,FALSE)))</f>
        <v/>
      </c>
      <c r="AT27" s="292" t="str">
        <f t="shared" ca="1" si="0"/>
        <v>??</v>
      </c>
      <c r="AU27" s="291" t="str">
        <f ca="1">IF(AV27=$AR$11,$AQ$11,IF(AV27=$AR$12,$AQ$12,VLOOKUP(AV27,Voorblad!$X$67:$Z$98,2,FALSE)))</f>
        <v>Slovakia</v>
      </c>
      <c r="AV27" s="292" t="str">
        <f t="shared" ca="1" si="1"/>
        <v>E2</v>
      </c>
      <c r="AW27" s="291" t="str">
        <f ca="1">IF(AX27=$AR$11,$AQ$11,IF(AX27=$AR$12,$AQ$12,VLOOKUP(AX27,Voorblad!$X$67:$Z$98,2,FALSE)))</f>
        <v/>
      </c>
      <c r="AX27" s="292" t="str">
        <f t="shared" ca="1" si="2"/>
        <v>??</v>
      </c>
      <c r="AY27" s="291" t="str">
        <f ca="1">IF(AZ27=$AR$11,$AQ$11,IF(AZ27=$AR$12,$AQ$12,VLOOKUP(AZ27,Voorblad!$X$67:$Z$98,2,FALSE)))</f>
        <v>Spain</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No.1 Group D</v>
      </c>
      <c r="H28" s="1209"/>
      <c r="I28" s="1209"/>
      <c r="J28" s="1209"/>
      <c r="K28" s="1209"/>
      <c r="L28" s="667" t="s">
        <v>850</v>
      </c>
      <c r="M28" s="665"/>
      <c r="N28" s="666" t="str">
        <f ca="1">IF(AK28="LEEG","▼   ","")&amp;"-  "</f>
        <v xml:space="preserve">-  </v>
      </c>
      <c r="O28" s="1209" t="str">
        <f ca="1">" "&amp;Taal04!$B$75&amp;" F"</f>
        <v xml:space="preserve"> No.2 Group F</v>
      </c>
      <c r="P28" s="1209"/>
      <c r="Q28" s="1209"/>
      <c r="R28" s="1209"/>
      <c r="S28" s="1209"/>
      <c r="T28" s="1209"/>
      <c r="U28" s="668" t="s">
        <v>2215</v>
      </c>
      <c r="V28" s="666" t="str">
        <f ca="1">IF(AL28="LEEG","▼   ","")&amp;": "</f>
        <v xml:space="preserve">: </v>
      </c>
      <c r="W28" s="738">
        <v>2</v>
      </c>
      <c r="X28" s="940" t="s">
        <v>12</v>
      </c>
      <c r="Y28" s="738">
        <v>0</v>
      </c>
      <c r="Z28" s="958"/>
      <c r="AA28" s="17"/>
      <c r="AB28" s="851">
        <f>IF(AND(AM28="GOED",AN28="GOED"),W28+Y28,0)</f>
        <v>2</v>
      </c>
      <c r="AC28" s="271" t="str">
        <f ca="1">IF(OR(L28="",ISBLANK(L28)),"OO",IF(TYPE(VLOOKUP(L28,Taal02!$C$100:$D$419,2,FALSE))=16,"XX",VLOOKUP(L28,Taal02!$C$100:$D$419,2,FALSE)))</f>
        <v>D2</v>
      </c>
      <c r="AD28" s="235" t="str">
        <f ca="1">IF(AC28="OO","LEEG",IF(AC28="XX","FOUT",VLOOKUP(AC28,Voorblad!$X$65:$Z$98,3,FALSE)))</f>
        <v>NL</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NLCZ20|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Netherlands</v>
      </c>
      <c r="H29" s="1207"/>
      <c r="I29" s="1207"/>
      <c r="J29" s="1207"/>
      <c r="K29" s="1207"/>
      <c r="L29" s="1207"/>
      <c r="M29" s="16"/>
      <c r="N29" s="16"/>
      <c r="O29" s="1207" t="str">
        <f ca="1">IF($AB$9=1," "&amp;AE29,IF($AB$9=2,IF(AE28="OO"," "&amp;AE29,""),""))</f>
        <v xml:space="preserve"> Czech Republic</v>
      </c>
      <c r="P29" s="1207"/>
      <c r="Q29" s="1207"/>
      <c r="R29" s="1207"/>
      <c r="S29" s="1207"/>
      <c r="T29" s="1207"/>
      <c r="U29" s="1207"/>
      <c r="V29" s="17"/>
      <c r="W29" s="17"/>
      <c r="X29" s="17"/>
      <c r="Y29" s="17"/>
      <c r="Z29" s="958"/>
      <c r="AA29" s="17"/>
      <c r="AB29" s="850"/>
      <c r="AC29" s="1208" t="str">
        <f ca="1">AM93</f>
        <v>Netherlands</v>
      </c>
      <c r="AD29" s="1208"/>
      <c r="AE29" s="1208" t="str">
        <f ca="1">AO93</f>
        <v>Czech Republic</v>
      </c>
      <c r="AF29" s="1208"/>
      <c r="AG29" s="716" t="str">
        <f ca="1">IF(AO28="FOUT","",IF(W28&gt;Y28,AC28,IF(W28&lt;Y28,AE28,AC28&amp;AE28)))</f>
        <v>D2</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Poland</v>
      </c>
      <c r="AR29" s="292" t="str">
        <f>AR28&amp;1</f>
        <v>D1</v>
      </c>
      <c r="AS29" s="684" t="str">
        <f ca="1">IF(AT29=$AR$11,$AQ$11,IF(AT29=$AR$12,$AQ$12,VLOOKUP(AT29,Voorblad!$X$67:$Z$98,2,FALSE)))</f>
        <v>Spain</v>
      </c>
      <c r="AT29" s="685" t="str">
        <f t="shared" ref="AT29:AT49" ca="1" si="5">RIGHT(LEFT($AK$96,$BA29),2)</f>
        <v>B1</v>
      </c>
      <c r="AU29" s="684" t="str">
        <f ca="1">IF(AV29=$AR$11,$AQ$11,IF(AV29=$AR$12,$AQ$12,VLOOKUP(AV29,Voorblad!$X$67:$Z$98,2,FALSE)))</f>
        <v>Germany</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France</v>
      </c>
      <c r="AZ29" s="685" t="str">
        <f ca="1">RIGHT(LEFT($AL$97,$BA29),2)</f>
        <v>D4</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Netherlands</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the link below you can find the criteria for determining the 4 best numbers 3 in the group phase.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Austria</v>
      </c>
      <c r="AR31" s="292" t="str">
        <f>AR28&amp;3</f>
        <v>D3</v>
      </c>
      <c r="AS31" s="684" t="str">
        <f ca="1">IF(AT31=$AR$11,$AQ$11,IF(AT31=$AR$12,$AQ$12,VLOOKUP(AT31,Voorblad!$X$67:$Z$98,2,FALSE)))</f>
        <v>Albania</v>
      </c>
      <c r="AT31" s="685" t="str">
        <f t="shared" ca="1" si="5"/>
        <v>B4</v>
      </c>
      <c r="AU31" s="684" t="str">
        <f ca="1">IF(AV31=$AR$11,$AQ$11,IF(AV31=$AR$12,$AQ$12,VLOOKUP(AV31,Voorblad!$X$67:$Z$98,2,FALSE)))</f>
        <v>Denmark</v>
      </c>
      <c r="AV31" s="685" t="str">
        <f t="shared" ca="1" si="6"/>
        <v>C2</v>
      </c>
      <c r="AW31" s="684" t="str">
        <f ca="1">IF(AX31=$AR$11,$AQ$11,IF(AX31=$AR$12,$AQ$12,VLOOKUP(AX31,Voorblad!$X$67:$Z$98,2,FALSE)))</f>
        <v>Albania</v>
      </c>
      <c r="AX31" s="685" t="str">
        <f t="shared" ca="1" si="7"/>
        <v>B4</v>
      </c>
      <c r="AY31" s="684" t="str">
        <f ca="1">IF(AZ31=$AR$11,$AQ$11,IF(AZ31=$AR$12,$AQ$12,VLOOKUP(AZ31,Voorblad!$X$67:$Z$98,2,FALSE)))</f>
        <v>Austria</v>
      </c>
      <c r="AZ31" s="685" t="str">
        <f t="shared" ca="1" si="8"/>
        <v>D3</v>
      </c>
      <c r="BA31" s="688">
        <f t="shared" si="9"/>
        <v>6</v>
      </c>
    </row>
    <row r="32" spans="1:53" ht="15" customHeight="1" x14ac:dyDescent="0.4">
      <c r="A32" s="576" t="str">
        <f t="shared" ref="A32:A33" si="10">IF(A31="H","H","")</f>
        <v/>
      </c>
      <c r="B32" s="17"/>
      <c r="C32" s="949"/>
      <c r="D32" s="412"/>
      <c r="E32" s="1202" t="str">
        <f ca="1">Taal04!B72</f>
        <v>You will also find a table here to determine which team plays in which 1/8 final.</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France</v>
      </c>
      <c r="AR32" s="295" t="str">
        <f>AR28&amp;4</f>
        <v>D4</v>
      </c>
      <c r="AS32" s="684" t="str">
        <f ca="1">IF(AT32=$AR$11,$AQ$11,IF(AT32=$AR$12,$AQ$12,VLOOKUP(AT32,Voorblad!$X$67:$Z$98,2,FALSE)))</f>
        <v>Austria</v>
      </c>
      <c r="AT32" s="685" t="str">
        <f t="shared" ca="1" si="5"/>
        <v>D3</v>
      </c>
      <c r="AU32" s="684" t="str">
        <f ca="1">IF(AV32=$AR$11,$AQ$11,IF(AV32=$AR$12,$AQ$12,VLOOKUP(AV32,Voorblad!$X$67:$Z$98,2,FALSE)))</f>
        <v>England</v>
      </c>
      <c r="AV32" s="685" t="str">
        <f t="shared" ca="1" si="6"/>
        <v>C4</v>
      </c>
      <c r="AW32" s="684" t="str">
        <f ca="1">IF(AX32=$AR$11,$AQ$11,IF(AX32=$AR$12,$AQ$12,VLOOKUP(AX32,Voorblad!$X$67:$Z$98,2,FALSE)))</f>
        <v>Croatia</v>
      </c>
      <c r="AX32" s="685" t="str">
        <f t="shared" ca="1" si="7"/>
        <v>B2</v>
      </c>
      <c r="AY32" s="684" t="str">
        <f ca="1">IF(AZ32=$AR$11,$AQ$11,IF(AZ32=$AR$12,$AQ$12,VLOOKUP(AZ32,Voorblad!$X$67:$Z$98,2,FALSE)))</f>
        <v>Belgium</v>
      </c>
      <c r="AZ32" s="685" t="str">
        <f t="shared" ca="1" si="8"/>
        <v>E1</v>
      </c>
      <c r="BA32" s="688">
        <f t="shared" si="9"/>
        <v>8</v>
      </c>
    </row>
    <row r="33" spans="1:56" ht="15" customHeight="1" x14ac:dyDescent="0.4">
      <c r="A33" s="576" t="str">
        <f t="shared" si="10"/>
        <v/>
      </c>
      <c r="B33" s="17"/>
      <c r="C33" s="949"/>
      <c r="D33" s="1203" t="str">
        <f ca="1">Taal04!B73</f>
        <v>www.excel-pool.nl/4best3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Belgium</v>
      </c>
      <c r="AT33" s="685" t="str">
        <f t="shared" ca="1" si="5"/>
        <v>E1</v>
      </c>
      <c r="AU33" s="684" t="str">
        <f ca="1">IF(AV33=$AR$11,$AQ$11,IF(AV33=$AR$12,$AQ$12,VLOOKUP(AV33,Voorblad!$X$67:$Z$98,2,FALSE)))</f>
        <v>Hungary</v>
      </c>
      <c r="AV33" s="685" t="str">
        <f t="shared" ca="1" si="6"/>
        <v>A3</v>
      </c>
      <c r="AW33" s="684" t="str">
        <f ca="1">IF(AX33=$AR$11,$AQ$11,IF(AX33=$AR$12,$AQ$12,VLOOKUP(AX33,Voorblad!$X$67:$Z$98,2,FALSE)))</f>
        <v>Czech Republic</v>
      </c>
      <c r="AX33" s="685" t="str">
        <f t="shared" ca="1" si="7"/>
        <v>F4</v>
      </c>
      <c r="AY33" s="684" t="str">
        <f ca="1">IF(AZ33=$AR$11,$AQ$11,IF(AZ33=$AR$12,$AQ$12,VLOOKUP(AZ33,Voorblad!$X$67:$Z$98,2,FALSE)))</f>
        <v>Netherlands</v>
      </c>
      <c r="AZ33" s="685" t="str">
        <f t="shared" ca="1" si="8"/>
        <v>D2</v>
      </c>
      <c r="BA33" s="688">
        <f t="shared" si="9"/>
        <v>10</v>
      </c>
    </row>
    <row r="34" spans="1:56" ht="24" customHeight="1" x14ac:dyDescent="0.4">
      <c r="A34" s="173"/>
      <c r="B34" s="17"/>
      <c r="C34" s="949"/>
      <c r="D34" s="829" t="str">
        <f ca="1">Taal04!$B$28</f>
        <v>Quarter-finals</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Belgium</v>
      </c>
      <c r="AR34" s="292" t="str">
        <f>AR33&amp;1</f>
        <v>E1</v>
      </c>
      <c r="AS34" s="684" t="str">
        <f ca="1">IF(AT34=$AR$11,$AQ$11,IF(AT34=$AR$12,$AQ$12,VLOOKUP(AT34,Voorblad!$X$67:$Z$98,2,FALSE)))</f>
        <v>Croatia</v>
      </c>
      <c r="AT34" s="685" t="str">
        <f t="shared" ca="1" si="5"/>
        <v>B2</v>
      </c>
      <c r="AU34" s="684" t="str">
        <f ca="1">IF(AV34=$AR$11,$AQ$11,IF(AV34=$AR$12,$AQ$12,VLOOKUP(AV34,Voorblad!$X$67:$Z$98,2,FALSE)))</f>
        <v>Scotland</v>
      </c>
      <c r="AV34" s="685" t="str">
        <f t="shared" ca="1" si="6"/>
        <v>A2</v>
      </c>
      <c r="AW34" s="684" t="str">
        <f ca="1">IF(AX34=$AR$11,$AQ$11,IF(AX34=$AR$12,$AQ$12,VLOOKUP(AX34,Voorblad!$X$67:$Z$98,2,FALSE)))</f>
        <v>Denmark</v>
      </c>
      <c r="AX34" s="685" t="str">
        <f t="shared" ca="1" si="7"/>
        <v>C2</v>
      </c>
      <c r="AY34" s="684" t="str">
        <f ca="1">IF(AZ34=$AR$11,$AQ$11,IF(AZ34=$AR$12,$AQ$12,VLOOKUP(AZ34,Voorblad!$X$67:$Z$98,2,FALSE)))</f>
        <v>Poland</v>
      </c>
      <c r="AZ34" s="685" t="str">
        <f t="shared" ca="1" si="8"/>
        <v>D1</v>
      </c>
      <c r="BA34" s="688">
        <f t="shared" si="9"/>
        <v>12</v>
      </c>
    </row>
    <row r="35" spans="1:56" ht="15" customHeight="1" x14ac:dyDescent="0.25">
      <c r="A35" s="173"/>
      <c r="B35" s="17"/>
      <c r="C35" s="949"/>
      <c r="D35" s="17"/>
      <c r="E35" s="939" t="str">
        <f ca="1">Taal04!$B$20</f>
        <v>Date</v>
      </c>
      <c r="F35" s="939" t="str">
        <f ca="1">Taal04!$B$21</f>
        <v>Time</v>
      </c>
      <c r="G35" s="1204" t="str">
        <f ca="1">Taal04!$B$22</f>
        <v>Match</v>
      </c>
      <c r="H35" s="1204"/>
      <c r="I35" s="1204"/>
      <c r="J35" s="1204"/>
      <c r="K35" s="1204"/>
      <c r="L35" s="1204"/>
      <c r="M35" s="1204"/>
      <c r="N35" s="1204"/>
      <c r="O35" s="1204"/>
      <c r="P35" s="1204"/>
      <c r="Q35" s="1204"/>
      <c r="R35" s="1204"/>
      <c r="S35" s="1204"/>
      <c r="T35" s="1204"/>
      <c r="U35" s="1204"/>
      <c r="V35" s="17"/>
      <c r="W35" s="1116" t="str">
        <f ca="1">Taal04!$B$24</f>
        <v>Score</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Slovakia</v>
      </c>
      <c r="AR35" s="292" t="str">
        <f>AR33&amp;2</f>
        <v>E2</v>
      </c>
      <c r="AS35" s="684" t="str">
        <f ca="1">IF(AT35=$AR$11,$AQ$11,IF(AT35=$AR$12,$AQ$12,VLOOKUP(AT35,Voorblad!$X$67:$Z$98,2,FALSE)))</f>
        <v>Czech Republic</v>
      </c>
      <c r="AT35" s="685" t="str">
        <f t="shared" ca="1" si="5"/>
        <v>F4</v>
      </c>
      <c r="AU35" s="684" t="str">
        <f ca="1">IF(AV35=$AR$11,$AQ$11,IF(AV35=$AR$12,$AQ$12,VLOOKUP(AV35,Voorblad!$X$67:$Z$98,2,FALSE)))</f>
        <v>Serbia</v>
      </c>
      <c r="AV35" s="685" t="str">
        <f t="shared" ca="1" si="6"/>
        <v>C3</v>
      </c>
      <c r="AW35" s="684" t="str">
        <f ca="1">IF(AX35=$AR$11,$AQ$11,IF(AX35=$AR$12,$AQ$12,VLOOKUP(AX35,Voorblad!$X$67:$Z$98,2,FALSE)))</f>
        <v>England</v>
      </c>
      <c r="AX35" s="685" t="str">
        <f t="shared" ca="1" si="7"/>
        <v>C4</v>
      </c>
      <c r="AY35" s="684" t="str">
        <f ca="1">IF(AZ35=$AR$11,$AQ$11,IF(AZ35=$AR$12,$AQ$12,VLOOKUP(AZ35,Voorblad!$X$67:$Z$98,2,FALSE)))</f>
        <v>Romania</v>
      </c>
      <c r="AZ35" s="685" t="str">
        <f t="shared" ca="1" si="8"/>
        <v>E3</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Winner Match 39</v>
      </c>
      <c r="H36" s="1209"/>
      <c r="I36" s="1209"/>
      <c r="J36" s="1209"/>
      <c r="K36" s="1209"/>
      <c r="L36" s="667" t="s">
        <v>563</v>
      </c>
      <c r="M36" s="665"/>
      <c r="N36" s="666" t="str">
        <f ca="1">IF(AK36="LEEG","▼   ","")&amp;"-  "</f>
        <v xml:space="preserve">-  </v>
      </c>
      <c r="O36" s="1209" t="str">
        <f ca="1">" "&amp;Taal04!$B$77&amp;" "&amp;D16</f>
        <v xml:space="preserve"> Winner Match 37</v>
      </c>
      <c r="P36" s="1209"/>
      <c r="Q36" s="1209"/>
      <c r="R36" s="1209"/>
      <c r="S36" s="1209"/>
      <c r="T36" s="1209"/>
      <c r="U36" s="667" t="s">
        <v>572</v>
      </c>
      <c r="V36" s="666" t="str">
        <f ca="1">IF(AL36="LEEG","▼   ","")&amp;": "</f>
        <v xml:space="preserve">: </v>
      </c>
      <c r="W36" s="738">
        <v>1</v>
      </c>
      <c r="X36" s="940" t="s">
        <v>12</v>
      </c>
      <c r="Y36" s="738">
        <v>3</v>
      </c>
      <c r="Z36" s="963"/>
      <c r="AA36" s="411"/>
      <c r="AB36" s="851">
        <f>IF(AND(AM36="GOED",AN36="GOED"),W36+Y36,0)</f>
        <v>4</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ESDE13|</v>
      </c>
      <c r="AP36" s="91">
        <f ca="1">LEN(AO36)</f>
        <v>7</v>
      </c>
      <c r="AQ36" s="291" t="str">
        <f ca="1">VLOOKUP(AR36,Voorblad!$X$67:$Z$98,2,FALSE)</f>
        <v>Romania</v>
      </c>
      <c r="AR36" s="292" t="str">
        <f>AR33&amp;3</f>
        <v>E3</v>
      </c>
      <c r="AS36" s="684" t="str">
        <f ca="1">IF(AT36=$AR$11,$AQ$11,IF(AT36=$AR$12,$AQ$12,VLOOKUP(AT36,Voorblad!$X$67:$Z$98,2,FALSE)))</f>
        <v>France</v>
      </c>
      <c r="AT36" s="685" t="str">
        <f t="shared" ca="1" si="5"/>
        <v>D4</v>
      </c>
      <c r="AU36" s="684" t="str">
        <f ca="1">IF(AV36=$AR$11,$AQ$11,IF(AV36=$AR$12,$AQ$12,VLOOKUP(AV36,Voorblad!$X$67:$Z$98,2,FALSE)))</f>
        <v>Slovenia</v>
      </c>
      <c r="AV36" s="685" t="str">
        <f t="shared" ca="1" si="6"/>
        <v>C1</v>
      </c>
      <c r="AW36" s="684" t="str">
        <f ca="1">IF(AX36=$AR$11,$AQ$11,IF(AX36=$AR$12,$AQ$12,VLOOKUP(AX36,Voorblad!$X$67:$Z$98,2,FALSE)))</f>
        <v>Georgia</v>
      </c>
      <c r="AX36" s="685" t="str">
        <f t="shared" ca="1" si="7"/>
        <v>F2</v>
      </c>
      <c r="AY36" s="684" t="str">
        <f ca="1">IF(AZ36=$AR$11,$AQ$11,IF(AZ36=$AR$12,$AQ$12,VLOOKUP(AZ36,Voorblad!$X$67:$Z$98,2,FALSE)))</f>
        <v>Slovakia</v>
      </c>
      <c r="AZ36" s="685" t="str">
        <f t="shared" ca="1" si="8"/>
        <v>E2</v>
      </c>
      <c r="BA36" s="688">
        <f t="shared" si="9"/>
        <v>16</v>
      </c>
    </row>
    <row r="37" spans="1:56" ht="18.95" customHeight="1" x14ac:dyDescent="0.25">
      <c r="A37" s="173"/>
      <c r="B37" s="17"/>
      <c r="C37" s="949"/>
      <c r="D37" s="17"/>
      <c r="E37" s="17"/>
      <c r="F37" s="17"/>
      <c r="G37" s="1207" t="str">
        <f ca="1">IF($AB$9=1," "&amp;AC37,IF($AB$9=2,IF(AC36="OO"," "&amp;AC37,""),""))</f>
        <v xml:space="preserve"> Spain</v>
      </c>
      <c r="H37" s="1207"/>
      <c r="I37" s="1207"/>
      <c r="J37" s="1207"/>
      <c r="K37" s="1207"/>
      <c r="L37" s="1207"/>
      <c r="M37" s="16"/>
      <c r="N37" s="16"/>
      <c r="O37" s="1207" t="str">
        <f ca="1">IF($AB$9=1," "&amp;AE37,IF($AB$9=2,IF(AE36="OO"," "&amp;AE37,""),""))</f>
        <v xml:space="preserve"> Germany</v>
      </c>
      <c r="P37" s="1207"/>
      <c r="Q37" s="1207"/>
      <c r="R37" s="1207"/>
      <c r="S37" s="1207"/>
      <c r="T37" s="1207"/>
      <c r="U37" s="1207"/>
      <c r="V37" s="17"/>
      <c r="W37" s="17"/>
      <c r="X37" s="262"/>
      <c r="Y37" s="17"/>
      <c r="Z37" s="60"/>
      <c r="AA37" s="17"/>
      <c r="AB37" s="850"/>
      <c r="AC37" s="1208" t="str">
        <f ca="1">AM96</f>
        <v>Spain</v>
      </c>
      <c r="AD37" s="1208"/>
      <c r="AE37" s="1208" t="str">
        <f ca="1">AO96</f>
        <v>Germany</v>
      </c>
      <c r="AF37" s="1208"/>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Ukraine</v>
      </c>
      <c r="AR37" s="295" t="str">
        <f>AR33&amp;4</f>
        <v>E4</v>
      </c>
      <c r="AS37" s="684" t="str">
        <f ca="1">IF(AT37=$AR$11,$AQ$11,IF(AT37=$AR$12,$AQ$12,VLOOKUP(AT37,Voorblad!$X$67:$Z$98,2,FALSE)))</f>
        <v>Georgia</v>
      </c>
      <c r="AT37" s="685" t="str">
        <f t="shared" ca="1" si="5"/>
        <v>F2</v>
      </c>
      <c r="AU37" s="684" t="str">
        <f ca="1">IF(AV37=$AR$11,$AQ$11,IF(AV37=$AR$12,$AQ$12,VLOOKUP(AV37,Voorblad!$X$67:$Z$98,2,FALSE)))</f>
        <v>Switzerland</v>
      </c>
      <c r="AV37" s="685" t="str">
        <f t="shared" ca="1" si="6"/>
        <v>A4</v>
      </c>
      <c r="AW37" s="684" t="str">
        <f ca="1">IF(AX37=$AR$11,$AQ$11,IF(AX37=$AR$12,$AQ$12,VLOOKUP(AX37,Voorblad!$X$67:$Z$98,2,FALSE)))</f>
        <v>Germany</v>
      </c>
      <c r="AX37" s="685" t="str">
        <f t="shared" ca="1" si="7"/>
        <v>A1</v>
      </c>
      <c r="AY37" s="684" t="str">
        <f ca="1">IF(AZ37=$AR$11,$AQ$11,IF(AZ37=$AR$12,$AQ$12,VLOOKUP(AZ37,Voorblad!$X$67:$Z$98,2,FALSE)))</f>
        <v>Ukraine</v>
      </c>
      <c r="AZ37" s="685" t="str">
        <f t="shared" ca="1" si="8"/>
        <v>E4</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Winner Match 41</v>
      </c>
      <c r="H38" s="1209"/>
      <c r="I38" s="1209"/>
      <c r="J38" s="1209"/>
      <c r="K38" s="1209"/>
      <c r="L38" s="667" t="s">
        <v>466</v>
      </c>
      <c r="M38" s="665"/>
      <c r="N38" s="666" t="str">
        <f ca="1">IF(AK38="LEEG","▼   ","")&amp;"-  "</f>
        <v xml:space="preserve">-  </v>
      </c>
      <c r="O38" s="1209" t="str">
        <f ca="1">" "&amp;Taal04!$B$77&amp;" "&amp;D22</f>
        <v xml:space="preserve"> Winner Match 42</v>
      </c>
      <c r="P38" s="1209"/>
      <c r="Q38" s="1209"/>
      <c r="R38" s="1209"/>
      <c r="S38" s="1209"/>
      <c r="T38" s="1209"/>
      <c r="U38" s="667" t="s">
        <v>565</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D4</v>
      </c>
      <c r="AF38" s="235" t="str">
        <f ca="1">IF(AE38="OO","LEEG",IF(AE38="XX","FOUT",VLOOKUP(AE38,Voorblad!$X$65:$Z$98,3,FALSE)))</f>
        <v>FR</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PTFR12|</v>
      </c>
      <c r="AP38" s="91">
        <f ca="1">LEN(AO38)</f>
        <v>7</v>
      </c>
      <c r="AQ38" s="287"/>
      <c r="AR38" s="289" t="s">
        <v>168</v>
      </c>
      <c r="AS38" s="684" t="str">
        <f ca="1">IF(AT38=$AR$11,$AQ$11,IF(AT38=$AR$12,$AQ$12,VLOOKUP(AT38,Voorblad!$X$67:$Z$98,2,FALSE)))</f>
        <v>Germany</v>
      </c>
      <c r="AT38" s="685" t="str">
        <f t="shared" ca="1" si="5"/>
        <v>A1</v>
      </c>
      <c r="AU38" s="684" t="str">
        <f ca="1">IF(AV38=$AR$11,$AQ$11,IF(AV38=$AR$12,$AQ$12,VLOOKUP(AV38,Voorblad!$X$67:$Z$98,2,FALSE)))</f>
        <v/>
      </c>
      <c r="AV38" s="685" t="str">
        <f t="shared" ca="1" si="6"/>
        <v>??</v>
      </c>
      <c r="AW38" s="684" t="str">
        <f ca="1">IF(AX38=$AR$11,$AQ$11,IF(AX38=$AR$12,$AQ$12,VLOOKUP(AX38,Voorblad!$X$67:$Z$98,2,FALSE)))</f>
        <v>Hungary</v>
      </c>
      <c r="AX38" s="685" t="str">
        <f t="shared" ca="1" si="7"/>
        <v>A3</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France</v>
      </c>
      <c r="P39" s="1207"/>
      <c r="Q39" s="1207"/>
      <c r="R39" s="1207"/>
      <c r="S39" s="1207"/>
      <c r="T39" s="1207"/>
      <c r="U39" s="1207"/>
      <c r="V39" s="17"/>
      <c r="W39" s="17"/>
      <c r="X39" s="262"/>
      <c r="Y39" s="17"/>
      <c r="Z39" s="60"/>
      <c r="AA39" s="17"/>
      <c r="AB39" s="850"/>
      <c r="AC39" s="1208" t="str">
        <f ca="1">AM97</f>
        <v>Portugal</v>
      </c>
      <c r="AD39" s="1208"/>
      <c r="AE39" s="1208" t="str">
        <f ca="1">AO97</f>
        <v>France</v>
      </c>
      <c r="AF39" s="1208"/>
      <c r="AG39" s="716" t="str">
        <f ca="1">IF(AO38="FOUT","",IF(W38&gt;Y38,AC38,IF(W38&lt;Y38,AE38,AC38&amp;AE38)))</f>
        <v>D4</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Turkey</v>
      </c>
      <c r="AR39" s="292" t="str">
        <f>AR38&amp;1</f>
        <v>F1</v>
      </c>
      <c r="AS39" s="684" t="str">
        <f ca="1">IF(AT39=$AR$11,$AQ$11,IF(AT39=$AR$12,$AQ$12,VLOOKUP(AT39,Voorblad!$X$67:$Z$98,2,FALSE)))</f>
        <v>Hungary</v>
      </c>
      <c r="AT39" s="685" t="str">
        <f t="shared" ca="1" si="5"/>
        <v>A3</v>
      </c>
      <c r="AU39" s="684" t="str">
        <f ca="1">IF(AV39=$AR$11,$AQ$11,IF(AV39=$AR$12,$AQ$12,VLOOKUP(AV39,Voorblad!$X$67:$Z$98,2,FALSE)))</f>
        <v/>
      </c>
      <c r="AV39" s="685" t="str">
        <f t="shared" ca="1" si="6"/>
        <v>??</v>
      </c>
      <c r="AW39" s="684" t="str">
        <f ca="1">IF(AX39=$AR$11,$AQ$11,IF(AX39=$AR$12,$AQ$12,VLOOKUP(AX39,Voorblad!$X$67:$Z$98,2,FALSE)))</f>
        <v>Italy</v>
      </c>
      <c r="AX39" s="685" t="str">
        <f t="shared" ca="1" si="7"/>
        <v>B3</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Winner Match 40</v>
      </c>
      <c r="H40" s="1209"/>
      <c r="I40" s="1209"/>
      <c r="J40" s="1209"/>
      <c r="K40" s="1209"/>
      <c r="L40" s="667" t="s">
        <v>575</v>
      </c>
      <c r="M40" s="665"/>
      <c r="N40" s="666" t="str">
        <f ca="1">IF(AK40="LEEG","▼   ","")&amp;"-  "</f>
        <v xml:space="preserve">-  </v>
      </c>
      <c r="O40" s="1209" t="str">
        <f ca="1">" "&amp;Taal04!$B$77&amp;" "&amp;D14</f>
        <v xml:space="preserve"> Winner Match 38</v>
      </c>
      <c r="P40" s="1209"/>
      <c r="Q40" s="1209"/>
      <c r="R40" s="1209"/>
      <c r="S40" s="1209"/>
      <c r="T40" s="1209"/>
      <c r="U40" s="667" t="s">
        <v>2194</v>
      </c>
      <c r="V40" s="666" t="str">
        <f ca="1">IF(AL40="LEEG","▼   ","")&amp;": "</f>
        <v xml:space="preserve">: </v>
      </c>
      <c r="W40" s="738">
        <v>2</v>
      </c>
      <c r="X40" s="940" t="s">
        <v>12</v>
      </c>
      <c r="Y40" s="738">
        <v>2</v>
      </c>
      <c r="Z40" s="963"/>
      <c r="AA40" s="411"/>
      <c r="AB40" s="851">
        <f>IF(AND(AM40="GOED",AN40="GOED"),W40+Y40,0)</f>
        <v>4</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GBIT22|</v>
      </c>
      <c r="AP40" s="91">
        <f ca="1">LEN(AO40)</f>
        <v>7</v>
      </c>
      <c r="AQ40" s="291" t="str">
        <f ca="1">VLOOKUP(AR40,Voorblad!$X$67:$Z$98,2,FALSE)</f>
        <v>Georgia</v>
      </c>
      <c r="AR40" s="292" t="str">
        <f>AR38&amp;2</f>
        <v>F2</v>
      </c>
      <c r="AS40" s="684" t="str">
        <f ca="1">IF(AT40=$AR$11,$AQ$11,IF(AT40=$AR$12,$AQ$12,VLOOKUP(AT40,Voorblad!$X$67:$Z$98,2,FALSE)))</f>
        <v>Italy</v>
      </c>
      <c r="AT40" s="685" t="str">
        <f t="shared" ca="1" si="5"/>
        <v>B3</v>
      </c>
      <c r="AU40" s="684" t="str">
        <f ca="1">IF(AV40=$AR$11,$AQ$11,IF(AV40=$AR$12,$AQ$12,VLOOKUP(AV40,Voorblad!$X$67:$Z$98,2,FALSE)))</f>
        <v/>
      </c>
      <c r="AV40" s="685" t="str">
        <f t="shared" ca="1" si="6"/>
        <v>??</v>
      </c>
      <c r="AW40" s="684" t="str">
        <f ca="1">IF(AX40=$AR$11,$AQ$11,IF(AX40=$AR$12,$AQ$12,VLOOKUP(AX40,Voorblad!$X$67:$Z$98,2,FALSE)))</f>
        <v>Scotland</v>
      </c>
      <c r="AX40" s="685" t="str">
        <f t="shared" ca="1" si="7"/>
        <v>A2</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England / Poland</v>
      </c>
      <c r="H41" s="1207"/>
      <c r="I41" s="1207"/>
      <c r="J41" s="1207"/>
      <c r="K41" s="1207"/>
      <c r="L41" s="1207"/>
      <c r="M41" s="16"/>
      <c r="N41" s="16"/>
      <c r="O41" s="1207" t="str">
        <f ca="1">IF($AB$9=1," "&amp;AE41,IF($AB$9=2,IF(AE40="OO"," "&amp;AE41,""),""))</f>
        <v xml:space="preserve"> Italy</v>
      </c>
      <c r="P41" s="1207"/>
      <c r="Q41" s="1207"/>
      <c r="R41" s="1207"/>
      <c r="S41" s="1207"/>
      <c r="T41" s="1207"/>
      <c r="U41" s="1207"/>
      <c r="V41" s="17"/>
      <c r="W41" s="17"/>
      <c r="X41" s="262"/>
      <c r="Y41" s="17"/>
      <c r="Z41" s="60"/>
      <c r="AA41" s="17"/>
      <c r="AB41" s="850"/>
      <c r="AC41" s="1208" t="str">
        <f ca="1">AM98</f>
        <v>England / Poland</v>
      </c>
      <c r="AD41" s="1208"/>
      <c r="AE41" s="1208" t="str">
        <f ca="1">AO98</f>
        <v>Italy</v>
      </c>
      <c r="AF41" s="1208"/>
      <c r="AG41" s="716" t="str">
        <f ca="1">IF(AO40="FOUT","",IF(W40&gt;Y40,AC40,IF(W40&lt;Y40,AE40,AC40&amp;AE40)))</f>
        <v>C4B3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Netherlands</v>
      </c>
      <c r="AT41" s="685" t="str">
        <f t="shared" ca="1" si="5"/>
        <v>D2</v>
      </c>
      <c r="AU41" s="684" t="str">
        <f ca="1">IF(AV41=$AR$11,$AQ$11,IF(AV41=$AR$12,$AQ$12,VLOOKUP(AV41,Voorblad!$X$67:$Z$98,2,FALSE)))</f>
        <v/>
      </c>
      <c r="AV41" s="685" t="str">
        <f t="shared" ca="1" si="6"/>
        <v>??</v>
      </c>
      <c r="AW41" s="684" t="str">
        <f ca="1">IF(AX41=$AR$11,$AQ$11,IF(AX41=$AR$12,$AQ$12,VLOOKUP(AX41,Voorblad!$X$67:$Z$98,2,FALSE)))</f>
        <v>Serbia</v>
      </c>
      <c r="AX41" s="685" t="str">
        <f t="shared" ca="1" si="7"/>
        <v>C3</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Winner Match 43</v>
      </c>
      <c r="H42" s="1209"/>
      <c r="I42" s="1209"/>
      <c r="J42" s="1209"/>
      <c r="K42" s="1209"/>
      <c r="L42" s="667" t="s">
        <v>1854</v>
      </c>
      <c r="M42" s="665"/>
      <c r="N42" s="666" t="str">
        <f ca="1">IF(AK42="LEEG","▼   ","")&amp;"-  "</f>
        <v xml:space="preserve">-  </v>
      </c>
      <c r="O42" s="1209" t="str">
        <f ca="1">" "&amp;Taal04!$B$77&amp;" "&amp;D28</f>
        <v xml:space="preserve"> Winner Match 44</v>
      </c>
      <c r="P42" s="1209"/>
      <c r="Q42" s="1209"/>
      <c r="R42" s="1209"/>
      <c r="S42" s="1209"/>
      <c r="T42" s="1209"/>
      <c r="U42" s="667" t="s">
        <v>850</v>
      </c>
      <c r="V42" s="666" t="str">
        <f ca="1">IF(AL42="LEEG","▼   ","")&amp;": "</f>
        <v xml:space="preserve">: </v>
      </c>
      <c r="W42" s="738">
        <v>1</v>
      </c>
      <c r="X42" s="940" t="s">
        <v>12</v>
      </c>
      <c r="Y42" s="738">
        <v>1</v>
      </c>
      <c r="Z42" s="963"/>
      <c r="AA42" s="411"/>
      <c r="AB42" s="851">
        <f>IF(AND(AM42="GOED",AN42="GOED"),W42+Y42,0)</f>
        <v>2</v>
      </c>
      <c r="AC42" s="271" t="str">
        <f ca="1">IF(OR(L42="",ISBLANK(L42),L42=$AQ$11),"OO",IF(TYPE(VLOOKUP(L42,Taal02!$C$100:$D$419,2,FALSE))=16,"XX",VLOOKUP(L42,Taal02!$C$100:$D$419,2,FALSE)))</f>
        <v>C3</v>
      </c>
      <c r="AD42" s="235" t="str">
        <f ca="1">IF(AC42="OO","LEEG",IF(AC42="XX","FOUT",VLOOKUP(AC42,Voorblad!$X$65:$Z$98,3,FALSE)))</f>
        <v>RS</v>
      </c>
      <c r="AE42" s="271" t="str">
        <f ca="1">IF(OR(U42="",ISBLANK(U42),U42=$AQ$11),"OO",IF(TYPE(VLOOKUP(U42,Taal02!$C$100:$D$419,2,FALSE))=16,"XX",VLOOKUP(U42,Taal02!$C$100:$D$419,2,FALSE)))</f>
        <v>D2</v>
      </c>
      <c r="AF42" s="235" t="str">
        <f ca="1">IF(AE42="OO","LEEG",IF(AE42="XX","FOUT",VLOOKUP(AE42,Voorblad!$X$65:$Z$98,3,FALSE)))</f>
        <v>NL</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RSNL11|</v>
      </c>
      <c r="AP42" s="91">
        <f ca="1">LEN(AO42)</f>
        <v>7</v>
      </c>
      <c r="AQ42" s="293" t="str">
        <f ca="1">VLOOKUP(AR42,Voorblad!$X$67:$Z$98,2,FALSE)</f>
        <v>Czech Republic</v>
      </c>
      <c r="AR42" s="295" t="str">
        <f>AR38&amp;4</f>
        <v>F4</v>
      </c>
      <c r="AS42" s="684" t="str">
        <f ca="1">IF(AT42=$AR$11,$AQ$11,IF(AT42=$AR$12,$AQ$12,VLOOKUP(AT42,Voorblad!$X$67:$Z$98,2,FALSE)))</f>
        <v>Poland</v>
      </c>
      <c r="AT42" s="685" t="str">
        <f t="shared" ca="1" si="5"/>
        <v>D1</v>
      </c>
      <c r="AU42" s="684" t="str">
        <f ca="1">IF(AV42=$AR$11,$AQ$11,IF(AV42=$AR$12,$AQ$12,VLOOKUP(AV42,Voorblad!$X$67:$Z$98,2,FALSE)))</f>
        <v/>
      </c>
      <c r="AV42" s="685" t="str">
        <f t="shared" ca="1" si="6"/>
        <v>??</v>
      </c>
      <c r="AW42" s="684" t="str">
        <f ca="1">IF(AX42=$AR$11,$AQ$11,IF(AX42=$AR$12,$AQ$12,VLOOKUP(AX42,Voorblad!$X$67:$Z$98,2,FALSE)))</f>
        <v>Slovenia</v>
      </c>
      <c r="AX42" s="685" t="str">
        <f t="shared" ca="1" si="7"/>
        <v>C1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Serbia / Slovakia</v>
      </c>
      <c r="H43" s="1207"/>
      <c r="I43" s="1207"/>
      <c r="J43" s="1207"/>
      <c r="K43" s="1207"/>
      <c r="L43" s="1207"/>
      <c r="M43" s="16"/>
      <c r="N43" s="16"/>
      <c r="O43" s="1207" t="str">
        <f ca="1">IF($AB$9=1," "&amp;AE43,IF($AB$9=2,IF(AE42="OO"," "&amp;AE43,""),""))</f>
        <v xml:space="preserve"> Netherlands</v>
      </c>
      <c r="P43" s="1207"/>
      <c r="Q43" s="1207"/>
      <c r="R43" s="1207"/>
      <c r="S43" s="1207"/>
      <c r="T43" s="1207"/>
      <c r="U43" s="1207"/>
      <c r="V43" s="17"/>
      <c r="W43" s="17"/>
      <c r="X43" s="17"/>
      <c r="Y43" s="17"/>
      <c r="Z43" s="60"/>
      <c r="AA43" s="17"/>
      <c r="AB43" s="850"/>
      <c r="AC43" s="1208" t="str">
        <f ca="1">AM99</f>
        <v>Serbia / Slovakia</v>
      </c>
      <c r="AD43" s="1208"/>
      <c r="AE43" s="1208" t="str">
        <f ca="1">AO99</f>
        <v>Netherlands</v>
      </c>
      <c r="AF43" s="1208"/>
      <c r="AG43" s="716" t="str">
        <f ca="1">IF(AO42="FOUT","",IF(W42&gt;Y42,AC42,IF(W42&lt;Y42,AE42,AC42&amp;AE42)))</f>
        <v>C3D2</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Spain</v>
      </c>
      <c r="AX43" s="685" t="str">
        <f t="shared" ca="1" si="7"/>
        <v>B1</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Semi-finals</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Romania</v>
      </c>
      <c r="AT44" s="685" t="str">
        <f t="shared" ca="1" si="5"/>
        <v>E3</v>
      </c>
      <c r="AU44" s="684" t="str">
        <f ca="1">IF(AV44=$AR$11,$AQ$11,IF(AV44=$AR$12,$AQ$12,VLOOKUP(AV44,Voorblad!$X$67:$Z$98,2,FALSE)))</f>
        <v/>
      </c>
      <c r="AV44" s="685" t="str">
        <f t="shared" ca="1" si="6"/>
        <v>??</v>
      </c>
      <c r="AW44" s="684" t="str">
        <f ca="1">IF(AX44=$AR$11,$AQ$11,IF(AX44=$AR$12,$AQ$12,VLOOKUP(AX44,Voorblad!$X$67:$Z$98,2,FALSE)))</f>
        <v>Switzerland</v>
      </c>
      <c r="AX44" s="685" t="str">
        <f t="shared" ca="1" si="7"/>
        <v>A4</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Date</v>
      </c>
      <c r="F45" s="941" t="str">
        <f ca="1">Taal04!$B$21</f>
        <v>Time</v>
      </c>
      <c r="G45" s="1204" t="str">
        <f ca="1">Taal04!$B$22</f>
        <v>Match</v>
      </c>
      <c r="H45" s="1204"/>
      <c r="I45" s="1204"/>
      <c r="J45" s="1204"/>
      <c r="K45" s="1204"/>
      <c r="L45" s="1204"/>
      <c r="M45" s="1204"/>
      <c r="N45" s="1204"/>
      <c r="O45" s="1204"/>
      <c r="P45" s="1204"/>
      <c r="Q45" s="1204"/>
      <c r="R45" s="1204"/>
      <c r="S45" s="1204"/>
      <c r="T45" s="1204"/>
      <c r="U45" s="1204"/>
      <c r="V45" s="17"/>
      <c r="W45" s="1205" t="str">
        <f ca="1">Taal04!$B$24</f>
        <v>Score</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Scotland</v>
      </c>
      <c r="AT45" s="685" t="str">
        <f t="shared" ca="1" si="5"/>
        <v>A2</v>
      </c>
      <c r="AU45" s="684" t="str">
        <f ca="1">IF(AV45=$AR$11,$AQ$11,IF(AV45=$AR$12,$AQ$12,VLOOKUP(AV45,Voorblad!$X$67:$Z$98,2,FALSE)))</f>
        <v/>
      </c>
      <c r="AV45" s="685" t="str">
        <f t="shared" ca="1" si="6"/>
        <v>??</v>
      </c>
      <c r="AW45" s="684" t="str">
        <f ca="1">IF(AX45=$AR$11,$AQ$11,IF(AX45=$AR$12,$AQ$12,VLOOKUP(AX45,Voorblad!$X$67:$Z$98,2,FALSE)))</f>
        <v>Turkey</v>
      </c>
      <c r="AX45" s="685" t="str">
        <f t="shared" ca="1" si="7"/>
        <v>F1</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Winner Match 45</v>
      </c>
      <c r="H46" s="1209"/>
      <c r="I46" s="1209"/>
      <c r="J46" s="1209"/>
      <c r="K46" s="1209"/>
      <c r="L46" s="667" t="s">
        <v>572</v>
      </c>
      <c r="M46" s="665"/>
      <c r="N46" s="666" t="str">
        <f ca="1">IF(AK46="LEEG","▼   ","")&amp;"-  "</f>
        <v xml:space="preserve">-  </v>
      </c>
      <c r="O46" s="1209" t="str">
        <f ca="1">" "&amp;Taal04!$B$77&amp;" "&amp;D38</f>
        <v xml:space="preserve"> Winner Match 46</v>
      </c>
      <c r="P46" s="1209"/>
      <c r="Q46" s="1209"/>
      <c r="R46" s="1209"/>
      <c r="S46" s="1209"/>
      <c r="T46" s="1209"/>
      <c r="U46" s="667" t="s">
        <v>565</v>
      </c>
      <c r="V46" s="666" t="str">
        <f ca="1">IF(AL46="LEEG","▼   ","")&amp;": "</f>
        <v xml:space="preserve">: </v>
      </c>
      <c r="W46" s="738">
        <v>2</v>
      </c>
      <c r="X46" s="940" t="s">
        <v>12</v>
      </c>
      <c r="Y46" s="738">
        <v>1</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D4</v>
      </c>
      <c r="AF46" s="235" t="str">
        <f ca="1">IF(AE46="OO","LEEG",IF(AE46="XX","FOUT",VLOOKUP(AE46,Voorblad!$X$65:$Z$98,3,FALSE)))</f>
        <v>FR</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DEFR21|</v>
      </c>
      <c r="AP46" s="91">
        <f ca="1">LEN(AO46)</f>
        <v>7</v>
      </c>
      <c r="AQ46" s="291" t="str">
        <f ca="1">VLOOKUP(AR46,Voorblad!$X$67:$Z$98,2,FALSE)</f>
        <v>ZZZ_land_G3</v>
      </c>
      <c r="AR46" s="292" t="str">
        <f>AR43&amp;3</f>
        <v>G3</v>
      </c>
      <c r="AS46" s="684" t="str">
        <f ca="1">IF(AT46=$AR$11,$AQ$11,IF(AT46=$AR$12,$AQ$12,VLOOKUP(AT46,Voorblad!$X$67:$Z$98,2,FALSE)))</f>
        <v>Slovakia</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Germany</v>
      </c>
      <c r="H47" s="1207"/>
      <c r="I47" s="1207"/>
      <c r="J47" s="1207"/>
      <c r="K47" s="1207"/>
      <c r="L47" s="1207"/>
      <c r="M47" s="16"/>
      <c r="N47" s="16"/>
      <c r="O47" s="1207" t="str">
        <f ca="1">IF($AB$9=1," "&amp;AE47,IF($AB$9=2,IF(AE46="OO"," "&amp;AE47,""),""))</f>
        <v xml:space="preserve"> France</v>
      </c>
      <c r="P47" s="1207"/>
      <c r="Q47" s="1207"/>
      <c r="R47" s="1207"/>
      <c r="S47" s="1207"/>
      <c r="T47" s="1207"/>
      <c r="U47" s="1207"/>
      <c r="V47" s="17"/>
      <c r="W47" s="17"/>
      <c r="X47" s="262"/>
      <c r="Y47" s="17"/>
      <c r="Z47" s="60"/>
      <c r="AA47" s="17"/>
      <c r="AB47" s="850"/>
      <c r="AC47" s="1208" t="str">
        <f ca="1">AM102</f>
        <v>Germany</v>
      </c>
      <c r="AD47" s="1208"/>
      <c r="AE47" s="1208" t="str">
        <f ca="1">AO102</f>
        <v>France</v>
      </c>
      <c r="AF47" s="1208"/>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Switzerland</v>
      </c>
      <c r="AT47" s="685" t="str">
        <f t="shared" ca="1" si="5"/>
        <v>A4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Winner Match 47</v>
      </c>
      <c r="H48" s="1209"/>
      <c r="I48" s="1209"/>
      <c r="J48" s="1209"/>
      <c r="K48" s="1209"/>
      <c r="L48" s="667" t="s">
        <v>850</v>
      </c>
      <c r="M48" s="665"/>
      <c r="N48" s="666" t="str">
        <f ca="1">IF(AK48="LEEG","▼   ","")&amp;"-  "</f>
        <v xml:space="preserve">-  </v>
      </c>
      <c r="O48" s="1209" t="str">
        <f ca="1">" "&amp;Taal04!$B$77&amp;" "&amp;D40</f>
        <v xml:space="preserve"> Winner Match 48</v>
      </c>
      <c r="P48" s="1209"/>
      <c r="Q48" s="1209"/>
      <c r="R48" s="1209"/>
      <c r="S48" s="1209"/>
      <c r="T48" s="1209"/>
      <c r="U48" s="667" t="s">
        <v>575</v>
      </c>
      <c r="V48" s="666" t="str">
        <f ca="1">IF(AL48="LEEG","▼   ","")&amp;": "</f>
        <v xml:space="preserve">: </v>
      </c>
      <c r="W48" s="738">
        <v>4</v>
      </c>
      <c r="X48" s="940" t="s">
        <v>12</v>
      </c>
      <c r="Y48" s="738">
        <v>3</v>
      </c>
      <c r="Z48" s="60"/>
      <c r="AA48" s="17"/>
      <c r="AB48" s="851">
        <f>IF(AND(AM48="GOED",AN48="GOED"),W48+Y48,0)</f>
        <v>7</v>
      </c>
      <c r="AC48" s="271" t="str">
        <f ca="1">IF(OR(L48="",ISBLANK(L48),L48=$AQ$11),"OO",IF(TYPE(VLOOKUP(L48,Taal02!$C$100:$D$419,2,FALSE))=16,"XX",VLOOKUP(L48,Taal02!$C$100:$D$419,2,FALSE)))</f>
        <v>D2</v>
      </c>
      <c r="AD48" s="235" t="str">
        <f ca="1">IF(AC48="OO","LEEG",IF(AC48="XX","FOUT",VLOOKUP(AC48,Voorblad!$X$65:$Z$98,3,FALSE)))</f>
        <v>NL</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D4</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NLGB43|</v>
      </c>
      <c r="AP48" s="91">
        <f ca="1">LEN(AO48)</f>
        <v>7</v>
      </c>
      <c r="AQ48" s="287"/>
      <c r="AR48" s="289" t="s">
        <v>169</v>
      </c>
      <c r="AS48" s="684" t="str">
        <f ca="1">IF(AT48=$AR$11,$AQ$11,IF(AT48=$AR$12,$AQ$12,VLOOKUP(AT48,Voorblad!$X$67:$Z$98,2,FALSE)))</f>
        <v>Turkey</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Netherlands / Serbia</v>
      </c>
      <c r="H49" s="1207"/>
      <c r="I49" s="1207"/>
      <c r="J49" s="1207"/>
      <c r="K49" s="1207"/>
      <c r="L49" s="1207"/>
      <c r="M49" s="16"/>
      <c r="N49" s="16"/>
      <c r="O49" s="1207" t="str">
        <f ca="1">IF($AB$9=1," "&amp;AE49,IF($AB$9=2,IF(AE48="OO"," "&amp;AE49,""),""))</f>
        <v xml:space="preserve"> England / Italy</v>
      </c>
      <c r="P49" s="1207"/>
      <c r="Q49" s="1207"/>
      <c r="R49" s="1207"/>
      <c r="S49" s="1207"/>
      <c r="T49" s="1207"/>
      <c r="U49" s="1207"/>
      <c r="V49" s="17"/>
      <c r="W49" s="262"/>
      <c r="X49" s="262"/>
      <c r="Y49" s="262"/>
      <c r="Z49" s="60"/>
      <c r="AA49" s="17"/>
      <c r="AB49" s="850"/>
      <c r="AC49" s="1208" t="str">
        <f ca="1">AM103</f>
        <v>Netherlands / Serbia</v>
      </c>
      <c r="AD49" s="1208"/>
      <c r="AE49" s="1208" t="str">
        <f ca="1">AO103</f>
        <v>England / Italy</v>
      </c>
      <c r="AF49" s="1208"/>
      <c r="AG49" s="716" t="str">
        <f ca="1">IF(AO48="FOUT","",IF(W48&gt;Y48,AC48,IF(W48&lt;Y48,AE48,AC48&amp;AE48)))</f>
        <v>D2</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Ukraine</v>
      </c>
      <c r="AT49" s="685" t="str">
        <f t="shared" ca="1" si="5"/>
        <v>E4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Consolation Final</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Date</v>
      </c>
      <c r="F51" s="941" t="str">
        <f ca="1">Taal04!$B$21</f>
        <v>Time</v>
      </c>
      <c r="G51" s="1204" t="str">
        <f ca="1">Taal04!$B$22</f>
        <v>Match</v>
      </c>
      <c r="H51" s="1204"/>
      <c r="I51" s="1204"/>
      <c r="J51" s="1204"/>
      <c r="K51" s="1204"/>
      <c r="L51" s="1204"/>
      <c r="M51" s="1204"/>
      <c r="N51" s="1204"/>
      <c r="O51" s="1204"/>
      <c r="P51" s="1204"/>
      <c r="Q51" s="1204"/>
      <c r="R51" s="1204"/>
      <c r="S51" s="1204"/>
      <c r="T51" s="1204"/>
      <c r="U51" s="1204"/>
      <c r="V51" s="17"/>
      <c r="W51" s="1205" t="str">
        <f ca="1">Taal04!$B$24</f>
        <v>Score</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England</v>
      </c>
      <c r="AT51" s="685" t="str">
        <f t="shared" ref="AT51:AT71" ca="1" si="12">RIGHT(LEFT($AK$98,$BA51),2)</f>
        <v>C4</v>
      </c>
      <c r="AU51" s="684" t="str">
        <f ca="1">IF(AV51=$AR$11,$AQ$11,IF(AV51=$AR$12,$AQ$12,VLOOKUP(AV51,Voorblad!$X$67:$Z$98,2,FALSE)))</f>
        <v>Italy</v>
      </c>
      <c r="AV51" s="685" t="str">
        <f t="shared" ref="AV51:AV71" ca="1" si="13">RIGHT(LEFT($AL$98,$BA51),2)</f>
        <v>B3</v>
      </c>
      <c r="AW51" s="684" t="str">
        <f ca="1">IF(AX51=$AR$11,$AQ$11,IF(AX51=$AR$12,$AQ$12,VLOOKUP(AX51,Voorblad!$X$67:$Z$98,2,FALSE)))</f>
        <v>Serbia</v>
      </c>
      <c r="AX51" s="685" t="str">
        <f t="shared" ref="AX51:AX71" ca="1" si="14">RIGHT(LEFT($AK$99,$BA51),2)</f>
        <v>C3</v>
      </c>
      <c r="AY51" s="684" t="str">
        <f ca="1">IF(AZ51=$AR$11,$AQ$11,IF(AZ51=$AR$12,$AQ$12,VLOOKUP(AZ51,Voorblad!$X$67:$Z$98,2,FALSE)))</f>
        <v>Netherlands</v>
      </c>
      <c r="AZ51" s="685" t="str">
        <f t="shared" ref="AZ51:AZ71" ca="1" si="15">RIGHT(LEFT($AL$99,$BA51),2)</f>
        <v>D2</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Loser Match 49</v>
      </c>
      <c r="H52" s="1209"/>
      <c r="I52" s="1209"/>
      <c r="J52" s="1209"/>
      <c r="K52" s="1209"/>
      <c r="L52" s="667"/>
      <c r="M52" s="665"/>
      <c r="N52" s="666" t="str">
        <f>IF(AK52="LEEG","▼   ","")&amp;"-  "</f>
        <v xml:space="preserve">-  </v>
      </c>
      <c r="O52" s="1209" t="str">
        <f ca="1">" "&amp;Taal04!$B$78&amp;" "&amp;D48</f>
        <v xml:space="preserve"> Loser Match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Poland</v>
      </c>
      <c r="AT52" s="685" t="str">
        <f t="shared" ca="1" si="12"/>
        <v>D1</v>
      </c>
      <c r="AU52" s="684" t="str">
        <f ca="1">IF(AV52=$AR$11,$AQ$11,IF(AV52=$AR$12,$AQ$12,VLOOKUP(AV52,Voorblad!$X$67:$Z$98,2,FALSE)))</f>
        <v>────────────────</v>
      </c>
      <c r="AV52" s="685" t="str">
        <f t="shared" ca="1" si="13"/>
        <v>&amp;&amp;</v>
      </c>
      <c r="AW52" s="684" t="str">
        <f ca="1">IF(AX52=$AR$11,$AQ$11,IF(AX52=$AR$12,$AQ$12,VLOOKUP(AX52,Voorblad!$X$67:$Z$98,2,FALSE)))</f>
        <v>Slovakia</v>
      </c>
      <c r="AX52" s="685" t="str">
        <f t="shared" ca="1" si="14"/>
        <v>E2</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France</v>
      </c>
      <c r="H53" s="1207"/>
      <c r="I53" s="1207"/>
      <c r="J53" s="1207"/>
      <c r="K53" s="1207"/>
      <c r="L53" s="1207"/>
      <c r="M53" s="16"/>
      <c r="N53" s="16"/>
      <c r="O53" s="1207" t="str">
        <f ca="1">IF($AB$9=1," "&amp;AE53,IF($AB$9=2,IF(AE52="OO"," "&amp;AE53,""),""))</f>
        <v xml:space="preserve"> England</v>
      </c>
      <c r="P53" s="1207"/>
      <c r="Q53" s="1207"/>
      <c r="R53" s="1207"/>
      <c r="S53" s="1207"/>
      <c r="T53" s="1207"/>
      <c r="U53" s="1207"/>
      <c r="V53" s="17"/>
      <c r="W53" s="262"/>
      <c r="X53" s="262"/>
      <c r="Y53" s="262"/>
      <c r="Z53" s="60"/>
      <c r="AA53" s="17"/>
      <c r="AB53" s="850"/>
      <c r="AC53" s="1208" t="str">
        <f ca="1">AM106</f>
        <v>France</v>
      </c>
      <c r="AD53" s="1208"/>
      <c r="AE53" s="1208" t="str">
        <f ca="1">AO106</f>
        <v>England</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v>
      </c>
      <c r="AT53" s="685" t="str">
        <f t="shared" ca="1" si="12"/>
        <v>&amp;&amp;</v>
      </c>
      <c r="AU53" s="684" t="str">
        <f ca="1">IF(AV53=$AR$11,$AQ$11,IF(AV53=$AR$12,$AQ$12,VLOOKUP(AV53,Voorblad!$X$67:$Z$98,2,FALSE)))</f>
        <v>Albania</v>
      </c>
      <c r="AV53" s="685" t="str">
        <f t="shared" ca="1" si="13"/>
        <v>B4</v>
      </c>
      <c r="AW53" s="684" t="str">
        <f ca="1">IF(AX53=$AR$11,$AQ$11,IF(AX53=$AR$12,$AQ$12,VLOOKUP(AX53,Voorblad!$X$67:$Z$98,2,FALSE)))</f>
        <v>────────────────</v>
      </c>
      <c r="AX53" s="685" t="str">
        <f t="shared" ca="1" si="14"/>
        <v>&amp;&amp;</v>
      </c>
      <c r="AY53" s="684" t="str">
        <f ca="1">IF(AZ53=$AR$11,$AQ$11,IF(AZ53=$AR$12,$AQ$12,VLOOKUP(AZ53,Voorblad!$X$67:$Z$98,2,FALSE)))</f>
        <v>Austria</v>
      </c>
      <c r="AZ53" s="685" t="str">
        <f t="shared" ca="1" si="15"/>
        <v>D3</v>
      </c>
      <c r="BA53" s="688">
        <f t="shared" si="16"/>
        <v>6</v>
      </c>
      <c r="BC53" s="574" t="s">
        <v>1878</v>
      </c>
    </row>
    <row r="54" spans="1:55" ht="24" customHeight="1" x14ac:dyDescent="0.4">
      <c r="B54" s="17"/>
      <c r="C54" s="949"/>
      <c r="D54" s="828" t="str">
        <f ca="1">Taal04!$B$31</f>
        <v>Final</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Austria</v>
      </c>
      <c r="AT54" s="685" t="str">
        <f t="shared" ca="1" si="12"/>
        <v>D3</v>
      </c>
      <c r="AU54" s="684" t="str">
        <f ca="1">IF(AV54=$AR$11,$AQ$11,IF(AV54=$AR$12,$AQ$12,VLOOKUP(AV54,Voorblad!$X$67:$Z$98,2,FALSE)))</f>
        <v>Croatia</v>
      </c>
      <c r="AV54" s="685" t="str">
        <f t="shared" ca="1" si="13"/>
        <v>B2</v>
      </c>
      <c r="AW54" s="684" t="str">
        <f ca="1">IF(AX54=$AR$11,$AQ$11,IF(AX54=$AR$12,$AQ$12,VLOOKUP(AX54,Voorblad!$X$67:$Z$98,2,FALSE)))</f>
        <v>Albania</v>
      </c>
      <c r="AX54" s="685" t="str">
        <f t="shared" ca="1" si="14"/>
        <v>B4</v>
      </c>
      <c r="AY54" s="684" t="str">
        <f ca="1">IF(AZ54=$AR$11,$AQ$11,IF(AZ54=$AR$12,$AQ$12,VLOOKUP(AZ54,Voorblad!$X$67:$Z$98,2,FALSE)))</f>
        <v>Czech Republic</v>
      </c>
      <c r="AZ54" s="685" t="str">
        <f t="shared" ca="1" si="15"/>
        <v>F4</v>
      </c>
      <c r="BA54" s="688">
        <f t="shared" si="16"/>
        <v>8</v>
      </c>
    </row>
    <row r="55" spans="1:55" ht="15" customHeight="1" x14ac:dyDescent="0.25">
      <c r="A55" s="173"/>
      <c r="B55" s="17"/>
      <c r="C55" s="949"/>
      <c r="D55" s="17"/>
      <c r="E55" s="941" t="str">
        <f ca="1">Taal04!$B$20</f>
        <v>Date</v>
      </c>
      <c r="F55" s="941" t="str">
        <f ca="1">Taal04!$B$21</f>
        <v>Time</v>
      </c>
      <c r="G55" s="1204" t="str">
        <f ca="1">Taal04!$B$22</f>
        <v>Match</v>
      </c>
      <c r="H55" s="1204"/>
      <c r="I55" s="1204"/>
      <c r="J55" s="1204"/>
      <c r="K55" s="1204"/>
      <c r="L55" s="1204"/>
      <c r="M55" s="1204"/>
      <c r="N55" s="1204"/>
      <c r="O55" s="1204"/>
      <c r="P55" s="1204"/>
      <c r="Q55" s="1204"/>
      <c r="R55" s="1204"/>
      <c r="S55" s="1204"/>
      <c r="T55" s="1204"/>
      <c r="U55" s="1204"/>
      <c r="V55" s="17"/>
      <c r="W55" s="1205" t="str">
        <f ca="1">Taal04!$B$24</f>
        <v>Score</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Belgium</v>
      </c>
      <c r="AT55" s="685" t="str">
        <f t="shared" ca="1" si="12"/>
        <v>E1</v>
      </c>
      <c r="AU55" s="684" t="str">
        <f ca="1">IF(AV55=$AR$11,$AQ$11,IF(AV55=$AR$12,$AQ$12,VLOOKUP(AV55,Voorblad!$X$67:$Z$98,2,FALSE)))</f>
        <v>Germany</v>
      </c>
      <c r="AV55" s="685" t="str">
        <f t="shared" ca="1" si="13"/>
        <v>A1</v>
      </c>
      <c r="AW55" s="684" t="str">
        <f ca="1">IF(AX55=$AR$11,$AQ$11,IF(AX55=$AR$12,$AQ$12,VLOOKUP(AX55,Voorblad!$X$67:$Z$98,2,FALSE)))</f>
        <v>Austria</v>
      </c>
      <c r="AX55" s="685" t="str">
        <f t="shared" ca="1" si="14"/>
        <v>D3</v>
      </c>
      <c r="AY55" s="684" t="str">
        <f ca="1">IF(AZ55=$AR$11,$AQ$11,IF(AZ55=$AR$12,$AQ$12,VLOOKUP(AZ55,Voorblad!$X$67:$Z$98,2,FALSE)))</f>
        <v>France</v>
      </c>
      <c r="AZ55" s="685" t="str">
        <f t="shared" ca="1" si="15"/>
        <v>D4</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Winner Match 49</v>
      </c>
      <c r="H56" s="1209"/>
      <c r="I56" s="1209"/>
      <c r="J56" s="1209"/>
      <c r="K56" s="1209"/>
      <c r="L56" s="667" t="s">
        <v>572</v>
      </c>
      <c r="M56" s="665"/>
      <c r="N56" s="666" t="str">
        <f ca="1">IF(AK56="LEEG","▼   ","")&amp;"-  "</f>
        <v xml:space="preserve">-  </v>
      </c>
      <c r="O56" s="1209" t="str">
        <f ca="1">" "&amp;Taal04!$B$77&amp;" "&amp;D48</f>
        <v xml:space="preserve"> Winner Match 50</v>
      </c>
      <c r="P56" s="1209"/>
      <c r="Q56" s="1209"/>
      <c r="R56" s="1209"/>
      <c r="S56" s="1209"/>
      <c r="T56" s="1209"/>
      <c r="U56" s="667" t="s">
        <v>850</v>
      </c>
      <c r="V56" s="666" t="str">
        <f ca="1">IF(AL56="LEEG","▼   ","")&amp;": "</f>
        <v xml:space="preserve">: </v>
      </c>
      <c r="W56" s="738">
        <v>2</v>
      </c>
      <c r="X56" s="940" t="s">
        <v>12</v>
      </c>
      <c r="Y56" s="738">
        <v>1</v>
      </c>
      <c r="Z56" s="60"/>
      <c r="AA56" s="17"/>
      <c r="AB56" s="851">
        <f>IF(AND(AM56="GOED",AN56="GOED"),W56+Y56,0)</f>
        <v>3</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D2</v>
      </c>
      <c r="AF56" s="235" t="str">
        <f ca="1">IF(AE56="OO","LEEG",IF(AE56="XX","FOUT",VLOOKUP(AE56,Voorblad!$X$65:$Z$98,3,FALSE)))</f>
        <v>NL</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DENL21|</v>
      </c>
      <c r="AP56" s="91">
        <f ca="1">LEN(AO56)</f>
        <v>7</v>
      </c>
      <c r="AQ56" s="674"/>
      <c r="AR56" s="678"/>
      <c r="AS56" s="684" t="str">
        <f ca="1">IF(AT56=$AR$11,$AQ$11,IF(AT56=$AR$12,$AQ$12,VLOOKUP(AT56,Voorblad!$X$67:$Z$98,2,FALSE)))</f>
        <v>Czech Republic</v>
      </c>
      <c r="AT56" s="685" t="str">
        <f t="shared" ca="1" si="12"/>
        <v>F4</v>
      </c>
      <c r="AU56" s="684" t="str">
        <f ca="1">IF(AV56=$AR$11,$AQ$11,IF(AV56=$AR$12,$AQ$12,VLOOKUP(AV56,Voorblad!$X$67:$Z$98,2,FALSE)))</f>
        <v>Hungary</v>
      </c>
      <c r="AV56" s="685" t="str">
        <f t="shared" ca="1" si="13"/>
        <v>A3</v>
      </c>
      <c r="AW56" s="684" t="str">
        <f ca="1">IF(AX56=$AR$11,$AQ$11,IF(AX56=$AR$12,$AQ$12,VLOOKUP(AX56,Voorblad!$X$67:$Z$98,2,FALSE)))</f>
        <v>Belgium</v>
      </c>
      <c r="AX56" s="685" t="str">
        <f t="shared" ca="1" si="14"/>
        <v>E1</v>
      </c>
      <c r="AY56" s="684" t="str">
        <f ca="1">IF(AZ56=$AR$11,$AQ$11,IF(AZ56=$AR$12,$AQ$12,VLOOKUP(AZ56,Voorblad!$X$67:$Z$98,2,FALSE)))</f>
        <v>Georgia</v>
      </c>
      <c r="AZ56" s="685" t="str">
        <f t="shared" ca="1" si="15"/>
        <v>F2</v>
      </c>
      <c r="BA56" s="688">
        <f t="shared" si="16"/>
        <v>12</v>
      </c>
    </row>
    <row r="57" spans="1:55" ht="15" customHeight="1" x14ac:dyDescent="0.25">
      <c r="A57" s="173"/>
      <c r="B57" s="17"/>
      <c r="C57" s="949"/>
      <c r="D57" s="17"/>
      <c r="E57" s="17"/>
      <c r="F57" s="17"/>
      <c r="G57" s="1207" t="str">
        <f ca="1">IF($AB$9=1," "&amp;AC57,IF($AB$9=2,IF(AC56="OO"," "&amp;AC57,""),""))</f>
        <v xml:space="preserve"> Germany</v>
      </c>
      <c r="H57" s="1207"/>
      <c r="I57" s="1207"/>
      <c r="J57" s="1207"/>
      <c r="K57" s="1207"/>
      <c r="L57" s="1207"/>
      <c r="M57" s="16"/>
      <c r="N57" s="16"/>
      <c r="O57" s="1207" t="str">
        <f ca="1">IF($AB$9=1," "&amp;AE57,IF($AB$9=2,IF(AE56="OO"," "&amp;AE57,""),""))</f>
        <v xml:space="preserve"> Netherlands</v>
      </c>
      <c r="P57" s="1207"/>
      <c r="Q57" s="1207"/>
      <c r="R57" s="1207"/>
      <c r="S57" s="1207"/>
      <c r="T57" s="1207"/>
      <c r="U57" s="1207"/>
      <c r="V57" s="17"/>
      <c r="W57" s="17"/>
      <c r="X57" s="17"/>
      <c r="Y57" s="17"/>
      <c r="Z57" s="60"/>
      <c r="AA57" s="17"/>
      <c r="AB57" s="1213" t="s">
        <v>1908</v>
      </c>
      <c r="AC57" s="1210" t="str">
        <f ca="1">AM109</f>
        <v>Germany</v>
      </c>
      <c r="AD57" s="1210"/>
      <c r="AE57" s="1210" t="str">
        <f ca="1">AO109</f>
        <v>Netherlands</v>
      </c>
      <c r="AF57" s="1210"/>
      <c r="AG57" s="716" t="str">
        <f ca="1">IF(AO56="FOUT","",IF(W56&gt;Y56,AC56,IF(W56&lt;Y56,AE56,AC56&amp;AE56)))</f>
        <v>A1</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Denmark</v>
      </c>
      <c r="AT57" s="685" t="str">
        <f t="shared" ca="1" si="12"/>
        <v>C2</v>
      </c>
      <c r="AU57" s="684" t="str">
        <f ca="1">IF(AV57=$AR$11,$AQ$11,IF(AV57=$AR$12,$AQ$12,VLOOKUP(AV57,Voorblad!$X$67:$Z$98,2,FALSE)))</f>
        <v>Scotland</v>
      </c>
      <c r="AV57" s="685" t="str">
        <f t="shared" ca="1" si="13"/>
        <v>A2</v>
      </c>
      <c r="AW57" s="684" t="str">
        <f ca="1">IF(AX57=$AR$11,$AQ$11,IF(AX57=$AR$12,$AQ$12,VLOOKUP(AX57,Voorblad!$X$67:$Z$98,2,FALSE)))</f>
        <v>Croatia</v>
      </c>
      <c r="AX57" s="685" t="str">
        <f t="shared" ca="1" si="14"/>
        <v>B2</v>
      </c>
      <c r="AY57" s="684" t="str">
        <f ca="1">IF(AZ57=$AR$11,$AQ$11,IF(AZ57=$AR$12,$AQ$12,VLOOKUP(AZ57,Voorblad!$X$67:$Z$98,2,FALSE)))</f>
        <v>Poland</v>
      </c>
      <c r="AZ57" s="685" t="str">
        <f t="shared" ca="1" si="15"/>
        <v>D1</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France</v>
      </c>
      <c r="AT58" s="685" t="str">
        <f t="shared" ca="1" si="12"/>
        <v>D4</v>
      </c>
      <c r="AU58" s="684" t="str">
        <f ca="1">IF(AV58=$AR$11,$AQ$11,IF(AV58=$AR$12,$AQ$12,VLOOKUP(AV58,Voorblad!$X$67:$Z$98,2,FALSE)))</f>
        <v>Spain</v>
      </c>
      <c r="AV58" s="685" t="str">
        <f t="shared" ca="1" si="13"/>
        <v>B1</v>
      </c>
      <c r="AW58" s="684" t="str">
        <f ca="1">IF(AX58=$AR$11,$AQ$11,IF(AX58=$AR$12,$AQ$12,VLOOKUP(AX58,Voorblad!$X$67:$Z$98,2,FALSE)))</f>
        <v>Denmark</v>
      </c>
      <c r="AX58" s="685" t="str">
        <f t="shared" ca="1" si="14"/>
        <v>C2</v>
      </c>
      <c r="AY58" s="684" t="str">
        <f ca="1">IF(AZ58=$AR$11,$AQ$11,IF(AZ58=$AR$12,$AQ$12,VLOOKUP(AZ58,Voorblad!$X$67:$Z$98,2,FALSE)))</f>
        <v>Portugal</v>
      </c>
      <c r="AZ58" s="685" t="str">
        <f t="shared" ca="1" si="15"/>
        <v>F3</v>
      </c>
      <c r="BA58" s="688">
        <f t="shared" si="16"/>
        <v>16</v>
      </c>
    </row>
    <row r="59" spans="1:55" ht="26.25" customHeight="1" x14ac:dyDescent="0.4">
      <c r="A59" s="173"/>
      <c r="B59" s="17"/>
      <c r="C59" s="949"/>
      <c r="D59" s="140">
        <v>65</v>
      </c>
      <c r="E59" s="17"/>
      <c r="F59" s="17"/>
      <c r="G59" s="15"/>
      <c r="H59" s="15"/>
      <c r="I59" s="826"/>
      <c r="J59" s="827"/>
      <c r="K59" s="827"/>
      <c r="L59" s="991" t="str">
        <f ca="1">Taal04!$B$32</f>
        <v>European Champion</v>
      </c>
      <c r="M59" s="827" t="s">
        <v>16</v>
      </c>
      <c r="N59" s="827"/>
      <c r="O59" s="1239" t="s">
        <v>572</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A1</v>
      </c>
      <c r="AF59" s="235" t="str">
        <f ca="1">IF(AE59="OO","LEEG",IF(AE59="XX","FOUT",VLOOKUP(AE59,Voorblad!$X$65:$Z$98,3,FALSE)))</f>
        <v>DE</v>
      </c>
      <c r="AG59" s="5"/>
      <c r="AH59" s="363" t="s">
        <v>2298</v>
      </c>
      <c r="AI59" s="5"/>
      <c r="AJ59" s="5"/>
      <c r="AK59" s="1"/>
      <c r="AL59" s="4" t="str">
        <f ca="1">IF(AF59="LEEG","LEEG",IF(TYPE(AF59)=2,IF(LEN(AF59)=2,"GOED","ONGELDIG"),"ONGELDIG"))</f>
        <v>GOED</v>
      </c>
      <c r="AM59" s="1"/>
      <c r="AN59" s="1"/>
      <c r="AO59" s="138" t="str">
        <f ca="1">IF(AL59="GOED",AF59&amp;"|","FOUT")</f>
        <v>DE|</v>
      </c>
      <c r="AP59" s="91">
        <f ca="1">LEN(AO59)</f>
        <v>3</v>
      </c>
      <c r="AQ59" s="674"/>
      <c r="AR59" s="678"/>
      <c r="AS59" s="684" t="str">
        <f ca="1">IF(AT59=$AR$11,$AQ$11,IF(AT59=$AR$12,$AQ$12,VLOOKUP(AT59,Voorblad!$X$67:$Z$98,2,FALSE)))</f>
        <v>Georgia</v>
      </c>
      <c r="AT59" s="685" t="str">
        <f t="shared" ca="1" si="12"/>
        <v>F2</v>
      </c>
      <c r="AU59" s="684" t="str">
        <f ca="1">IF(AV59=$AR$11,$AQ$11,IF(AV59=$AR$12,$AQ$12,VLOOKUP(AV59,Voorblad!$X$67:$Z$98,2,FALSE)))</f>
        <v>Switzerland</v>
      </c>
      <c r="AV59" s="685" t="str">
        <f t="shared" ca="1" si="13"/>
        <v>A4</v>
      </c>
      <c r="AW59" s="684" t="str">
        <f ca="1">IF(AX59=$AR$11,$AQ$11,IF(AX59=$AR$12,$AQ$12,VLOOKUP(AX59,Voorblad!$X$67:$Z$98,2,FALSE)))</f>
        <v>England</v>
      </c>
      <c r="AX59" s="685" t="str">
        <f t="shared" ca="1" si="14"/>
        <v>C4</v>
      </c>
      <c r="AY59" s="684" t="str">
        <f ca="1">IF(AZ59=$AR$11,$AQ$11,IF(AZ59=$AR$12,$AQ$12,VLOOKUP(AZ59,Voorblad!$X$67:$Z$98,2,FALSE)))</f>
        <v>Turkey</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Germany</v>
      </c>
      <c r="P60" s="1211"/>
      <c r="Q60" s="1211"/>
      <c r="R60" s="1211"/>
      <c r="S60" s="1211"/>
      <c r="T60" s="1211"/>
      <c r="U60" s="1211"/>
      <c r="V60" s="17"/>
      <c r="W60" s="17"/>
      <c r="X60" s="17"/>
      <c r="Y60" s="17"/>
      <c r="Z60" s="60"/>
      <c r="AA60" s="17"/>
      <c r="AB60" s="1213"/>
      <c r="AC60" s="10"/>
      <c r="AD60" s="5"/>
      <c r="AE60" s="1210" t="str">
        <f ca="1">AM112</f>
        <v>Germany</v>
      </c>
      <c r="AF60" s="1210"/>
      <c r="AG60" s="5"/>
      <c r="AH60" s="5"/>
      <c r="AI60" s="5"/>
      <c r="AJ60" s="5"/>
      <c r="AK60" s="1"/>
      <c r="AL60" s="1"/>
      <c r="AM60" s="1"/>
      <c r="AN60" s="1"/>
      <c r="AO60" s="1"/>
      <c r="AP60" s="91"/>
      <c r="AQ60" s="674"/>
      <c r="AR60" s="678"/>
      <c r="AS60" s="684" t="str">
        <f ca="1">IF(AT60=$AR$11,$AQ$11,IF(AT60=$AR$12,$AQ$12,VLOOKUP(AT60,Voorblad!$X$67:$Z$98,2,FALSE)))</f>
        <v>Netherlands</v>
      </c>
      <c r="AT60" s="685" t="str">
        <f t="shared" ca="1" si="12"/>
        <v>D2</v>
      </c>
      <c r="AU60" s="684" t="str">
        <f ca="1">IF(AV60=$AR$11,$AQ$11,IF(AV60=$AR$12,$AQ$12,VLOOKUP(AV60,Voorblad!$X$67:$Z$98,2,FALSE)))</f>
        <v/>
      </c>
      <c r="AV60" s="685" t="str">
        <f t="shared" ca="1" si="13"/>
        <v>??</v>
      </c>
      <c r="AW60" s="684" t="str">
        <f ca="1">IF(AX60=$AR$11,$AQ$11,IF(AX60=$AR$12,$AQ$12,VLOOKUP(AX60,Voorblad!$X$67:$Z$98,2,FALSE)))</f>
        <v>France</v>
      </c>
      <c r="AX60" s="685" t="str">
        <f t="shared" ca="1" si="14"/>
        <v>D4</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Germany</v>
      </c>
      <c r="AX61" s="685" t="str">
        <f t="shared" ca="1" si="14"/>
        <v>A1</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Romania</v>
      </c>
      <c r="AT62" s="685" t="str">
        <f t="shared" ca="1" si="12"/>
        <v>E3</v>
      </c>
      <c r="AU62" s="684" t="str">
        <f ca="1">IF(AV62=$AR$11,$AQ$11,IF(AV62=$AR$12,$AQ$12,VLOOKUP(AV62,Voorblad!$X$67:$Z$98,2,FALSE)))</f>
        <v/>
      </c>
      <c r="AV62" s="685" t="str">
        <f t="shared" ca="1" si="13"/>
        <v>??</v>
      </c>
      <c r="AW62" s="684" t="str">
        <f ca="1">IF(AX62=$AR$11,$AQ$11,IF(AX62=$AR$12,$AQ$12,VLOOKUP(AX62,Voorblad!$X$67:$Z$98,2,FALSE)))</f>
        <v>Hungary</v>
      </c>
      <c r="AX62" s="685" t="str">
        <f t="shared" ca="1" si="14"/>
        <v>A3</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Serbia</v>
      </c>
      <c r="AT63" s="685" t="str">
        <f t="shared" ca="1" si="12"/>
        <v>C3</v>
      </c>
      <c r="AU63" s="684" t="str">
        <f ca="1">IF(AV63=$AR$11,$AQ$11,IF(AV63=$AR$12,$AQ$12,VLOOKUP(AV63,Voorblad!$X$67:$Z$98,2,FALSE)))</f>
        <v/>
      </c>
      <c r="AV63" s="685" t="str">
        <f t="shared" ca="1" si="13"/>
        <v>??</v>
      </c>
      <c r="AW63" s="684" t="str">
        <f ca="1">IF(AX63=$AR$11,$AQ$11,IF(AX63=$AR$12,$AQ$12,VLOOKUP(AX63,Voorblad!$X$67:$Z$98,2,FALSE)))</f>
        <v>Italy</v>
      </c>
      <c r="AX63" s="685" t="str">
        <f t="shared" ca="1" si="14"/>
        <v>B3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Slovakia</v>
      </c>
      <c r="AT64" s="685" t="str">
        <f t="shared" ca="1" si="12"/>
        <v>E2</v>
      </c>
      <c r="AU64" s="684" t="str">
        <f ca="1">IF(AV64=$AR$11,$AQ$11,IF(AV64=$AR$12,$AQ$12,VLOOKUP(AV64,Voorblad!$X$67:$Z$98,2,FALSE)))</f>
        <v/>
      </c>
      <c r="AV64" s="685" t="str">
        <f t="shared" ca="1" si="13"/>
        <v>??</v>
      </c>
      <c r="AW64" s="684" t="str">
        <f ca="1">IF(AX64=$AR$11,$AQ$11,IF(AX64=$AR$12,$AQ$12,VLOOKUP(AX64,Voorblad!$X$67:$Z$98,2,FALSE)))</f>
        <v>Netherlands</v>
      </c>
      <c r="AX64" s="685" t="str">
        <f t="shared" ca="1" si="14"/>
        <v>D2</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Slovenia</v>
      </c>
      <c r="AT65" s="685" t="str">
        <f t="shared" ca="1" si="12"/>
        <v>C1</v>
      </c>
      <c r="AU65" s="684" t="str">
        <f ca="1">IF(AV65=$AR$11,$AQ$11,IF(AV65=$AR$12,$AQ$12,VLOOKUP(AV65,Voorblad!$X$67:$Z$98,2,FALSE)))</f>
        <v/>
      </c>
      <c r="AV65" s="685" t="str">
        <f t="shared" ca="1" si="13"/>
        <v>??</v>
      </c>
      <c r="AW65" s="684" t="str">
        <f ca="1">IF(AX65=$AR$11,$AQ$11,IF(AX65=$AR$12,$AQ$12,VLOOKUP(AX65,Voorblad!$X$67:$Z$98,2,FALSE)))</f>
        <v>Poland</v>
      </c>
      <c r="AX65" s="685" t="str">
        <f t="shared" ca="1" si="14"/>
        <v>D1</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Turkey</v>
      </c>
      <c r="AT66" s="685" t="str">
        <f t="shared" ca="1" si="12"/>
        <v>F1</v>
      </c>
      <c r="AU66" s="684" t="str">
        <f ca="1">IF(AV66=$AR$11,$AQ$11,IF(AV66=$AR$12,$AQ$12,VLOOKUP(AV66,Voorblad!$X$67:$Z$98,2,FALSE)))</f>
        <v/>
      </c>
      <c r="AV66" s="685" t="str">
        <f t="shared" ca="1" si="13"/>
        <v>??</v>
      </c>
      <c r="AW66" s="684" t="str">
        <f ca="1">IF(AX66=$AR$11,$AQ$11,IF(AX66=$AR$12,$AQ$12,VLOOKUP(AX66,Voorblad!$X$67:$Z$98,2,FALSE)))</f>
        <v>Romania</v>
      </c>
      <c r="AX66" s="685" t="str">
        <f t="shared" ca="1" si="14"/>
        <v>E3</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Ukraine</v>
      </c>
      <c r="AT67" s="685" t="str">
        <f t="shared" ca="1" si="12"/>
        <v>E4</v>
      </c>
      <c r="AU67" s="684" t="str">
        <f ca="1">IF(AV67=$AR$11,$AQ$11,IF(AV67=$AR$12,$AQ$12,VLOOKUP(AV67,Voorblad!$X$67:$Z$98,2,FALSE)))</f>
        <v/>
      </c>
      <c r="AV67" s="685" t="str">
        <f t="shared" ca="1" si="13"/>
        <v>??</v>
      </c>
      <c r="AW67" s="684" t="str">
        <f ca="1">IF(AX67=$AR$11,$AQ$11,IF(AX67=$AR$12,$AQ$12,VLOOKUP(AX67,Voorblad!$X$67:$Z$98,2,FALSE)))</f>
        <v>Scotland</v>
      </c>
      <c r="AX67" s="685" t="str">
        <f t="shared" ca="1" si="14"/>
        <v>A2</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HUIT12|DEDK31|GBPL22|ESCH21|FRBE30|PTHR21|SKRS22|NLCZ20|ESDE13|PTFR12|GBIT22|RSNL11|DEFR21|NLGB43|DENL21|DE|</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Slovenia</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Spain</v>
      </c>
      <c r="AX69" s="685" t="str">
        <f t="shared" ca="1" si="14"/>
        <v>B1</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Switzerland</v>
      </c>
      <c r="AX70" s="685" t="str">
        <f t="shared" ca="1" si="14"/>
        <v>A4</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HUIT12|DEDK31|GBPL22|ESCH21|FRBE30|PTHR21|SKRS22|NLCZ20|ESDE13|PTFR12|GBIT22|RSNL11|DEFR21|NLGB43|DENL21|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Ukraine</v>
      </c>
      <c r="AX71" s="685" t="str">
        <f t="shared" ca="1" si="14"/>
        <v>E4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Germany</v>
      </c>
      <c r="AT73" s="694" t="str">
        <f ca="1">RIGHT(LEFT($AK$102,$BA73),2)</f>
        <v>A1</v>
      </c>
      <c r="AU73" s="693" t="str">
        <f ca="1">IF(AV73=$AR$11,$AQ$11,IF(AV73=$AR$12,$AQ$12,VLOOKUP(AV73,Voorblad!$X$67:$Z$98,2,FALSE)))</f>
        <v>France</v>
      </c>
      <c r="AV73" s="694" t="str">
        <f ca="1">RIGHT(LEFT($AL$102,$BA73),2)</f>
        <v>D4</v>
      </c>
      <c r="AW73" s="693" t="str">
        <f ca="1">IF(AX73=$AR$11,$AQ$11,IF(AX73=$AR$12,$AQ$12,VLOOKUP(AX73,Voorblad!$X$67:$Z$98,2,FALSE)))</f>
        <v>Netherlands</v>
      </c>
      <c r="AX73" s="694" t="str">
        <f ca="1">RIGHT(LEFT($AK$103,$BA73),2)</f>
        <v>D2</v>
      </c>
      <c r="AY73" s="693" t="str">
        <f ca="1">IF(AZ73=$AR$11,$AQ$11,IF(AZ73=$AR$12,$AQ$12,VLOOKUP(AZ73,Voorblad!$X$67:$Z$98,2,FALSE)))</f>
        <v>England</v>
      </c>
      <c r="AZ73" s="694" t="str">
        <f ca="1">RIGHT(LEFT($AL$103,$BA73),2)</f>
        <v>C4</v>
      </c>
      <c r="BA73" s="695">
        <v>2</v>
      </c>
    </row>
    <row r="74" spans="3:53" ht="15" customHeight="1" x14ac:dyDescent="0.25">
      <c r="O74" s="47"/>
      <c r="P74" s="47"/>
      <c r="AB74" s="717">
        <f>D14</f>
        <v>38</v>
      </c>
      <c r="AC74" s="1191" t="str">
        <f ca="1">Groepswedstrijden!$Z$73</f>
        <v>A3</v>
      </c>
      <c r="AD74" s="1191"/>
      <c r="AE74" s="1191" t="str">
        <f ca="1">Groepswedstrijden!$AA$73</f>
        <v>B3</v>
      </c>
      <c r="AF74" s="1191"/>
      <c r="AG74" s="1191" t="e">
        <f>#REF!</f>
        <v>#REF!</v>
      </c>
      <c r="AH74" s="1191"/>
      <c r="AI74" s="1191" t="e">
        <f>#REF!</f>
        <v>#REF!</v>
      </c>
      <c r="AJ74" s="1191"/>
      <c r="AK74" s="717" t="str">
        <f ca="1">'Eindstand Groep'!$Y$5</f>
        <v>A3</v>
      </c>
      <c r="AL74" s="717" t="str">
        <f ca="1">'Eindstand Groep'!$Z$5</f>
        <v>B3</v>
      </c>
      <c r="AM74" s="1199" t="str">
        <f t="shared" ref="AM74:AM81" ca="1" si="18">IF($AG$71=1,AK74,IF($AG$67=1,AC74,IF($AG$69=1,AG74,"")))</f>
        <v>A3</v>
      </c>
      <c r="AN74" s="1199"/>
      <c r="AO74" s="614" t="str">
        <f ca="1">IF($AG$71=1,AL74,IF($AG$67=1,AE74,IF($AG$69=1,AI74,"")))</f>
        <v>B3</v>
      </c>
      <c r="AP74" s="266"/>
      <c r="AQ74" s="710" t="str">
        <f ca="1">Voorblad!AA68</f>
        <v>D3</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Serbia</v>
      </c>
      <c r="AX74" s="694" t="str">
        <f t="shared" ref="AX74:AX105" ca="1" si="21">RIGHT(LEFT($AK$103,$BA74),2)</f>
        <v>C3</v>
      </c>
      <c r="AY74" s="693" t="str">
        <f ca="1">IF(AZ74=$AR$11,$AQ$11,IF(AZ74=$AR$12,$AQ$12,VLOOKUP(AZ74,Voorblad!$X$67:$Z$98,2,FALSE)))</f>
        <v>Italy</v>
      </c>
      <c r="AZ74" s="694" t="str">
        <f t="shared" ref="AZ74:AZ105" ca="1" si="22">RIGHT(LEFT($AL$103,$BA74),2)</f>
        <v>B3</v>
      </c>
      <c r="BA74" s="696">
        <f t="shared" ref="BA74:BA84" si="23">BA73+2</f>
        <v>4</v>
      </c>
    </row>
    <row r="75" spans="3:53" x14ac:dyDescent="0.25">
      <c r="O75" s="47"/>
      <c r="P75" s="47"/>
      <c r="AB75" s="718">
        <f>D16</f>
        <v>37</v>
      </c>
      <c r="AC75" s="1195" t="str">
        <f ca="1">Groepswedstrijden!$Z$72</f>
        <v>A1</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E1</v>
      </c>
      <c r="AR75" s="711"/>
      <c r="AS75" s="693" t="str">
        <f ca="1">IF(AT75=$AR$11,$AQ$11,IF(AT75=$AR$12,$AQ$12,VLOOKUP(AT75,Voorblad!$X$67:$Z$98,2,FALSE)))</f>
        <v>Albania</v>
      </c>
      <c r="AT75" s="694" t="str">
        <f t="shared" ca="1" si="19"/>
        <v>B4</v>
      </c>
      <c r="AU75" s="693" t="str">
        <f ca="1">IF(AV75=$AR$11,$AQ$11,IF(AV75=$AR$12,$AQ$12,VLOOKUP(AV75,Voorblad!$X$67:$Z$98,2,FALSE)))</f>
        <v>Albania</v>
      </c>
      <c r="AV75" s="694" t="str">
        <f t="shared" ca="1" si="20"/>
        <v>B4</v>
      </c>
      <c r="AW75" s="693" t="str">
        <f ca="1">IF(AX75=$AR$11,$AQ$11,IF(AX75=$AR$12,$AQ$12,VLOOKUP(AX75,Voorblad!$X$67:$Z$98,2,FALSE)))</f>
        <v>────────────────</v>
      </c>
      <c r="AX75" s="694" t="str">
        <f t="shared" ca="1" si="21"/>
        <v>&amp;&amp;</v>
      </c>
      <c r="AY75" s="693" t="str">
        <f ca="1">IF(AZ75=$AR$11,$AQ$11,IF(AZ75=$AR$12,$AQ$12,VLOOKUP(AZ75,Voorblad!$X$67:$Z$98,2,FALSE)))</f>
        <v>────────────────</v>
      </c>
      <c r="AZ75" s="694" t="str">
        <f t="shared" ca="1" si="22"/>
        <v>&amp;&amp;</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D1D2D4E3E4F1</v>
      </c>
      <c r="AF76" s="1191"/>
      <c r="AG76" s="1191" t="e">
        <f>#REF!</f>
        <v>#REF!</v>
      </c>
      <c r="AH76" s="1191"/>
      <c r="AI76" s="1191" t="e">
        <f>#REF!&amp;#REF!&amp;#REF!</f>
        <v>#REF!</v>
      </c>
      <c r="AJ76" s="1191"/>
      <c r="AK76" s="717" t="str">
        <f ca="1">'Eindstand Groep'!$Y$7</f>
        <v>C4</v>
      </c>
      <c r="AL76" s="717" t="str">
        <f ca="1">'Eindstand Groep'!$Z$7</f>
        <v>D1E4F1</v>
      </c>
      <c r="AM76" s="1199" t="str">
        <f t="shared" ca="1" si="18"/>
        <v>C4</v>
      </c>
      <c r="AN76" s="1199"/>
      <c r="AO76" s="614" t="str">
        <f t="shared" ca="1" si="24"/>
        <v>D1E4F1</v>
      </c>
      <c r="AP76" s="266"/>
      <c r="AQ76" s="710" t="str">
        <f ca="1">Voorblad!AA70</f>
        <v>B2</v>
      </c>
      <c r="AR76" s="711"/>
      <c r="AS76" s="693" t="str">
        <f ca="1">IF(AT76=$AR$11,$AQ$11,IF(AT76=$AR$12,$AQ$12,VLOOKUP(AT76,Voorblad!$X$67:$Z$98,2,FALSE)))</f>
        <v>Austria</v>
      </c>
      <c r="AT76" s="694" t="str">
        <f t="shared" ca="1" si="19"/>
        <v>D3</v>
      </c>
      <c r="AU76" s="693" t="str">
        <f ca="1">IF(AV76=$AR$11,$AQ$11,IF(AV76=$AR$12,$AQ$12,VLOOKUP(AV76,Voorblad!$X$67:$Z$98,2,FALSE)))</f>
        <v>Austria</v>
      </c>
      <c r="AV76" s="694" t="str">
        <f t="shared" ca="1" si="20"/>
        <v>D3</v>
      </c>
      <c r="AW76" s="693" t="str">
        <f ca="1">IF(AX76=$AR$11,$AQ$11,IF(AX76=$AR$12,$AQ$12,VLOOKUP(AX76,Voorblad!$X$67:$Z$98,2,FALSE)))</f>
        <v>Albania</v>
      </c>
      <c r="AX76" s="694" t="str">
        <f t="shared" ca="1" si="21"/>
        <v>B4</v>
      </c>
      <c r="AY76" s="693" t="str">
        <f ca="1">IF(AZ76=$AR$11,$AQ$11,IF(AZ76=$AR$12,$AQ$12,VLOOKUP(AZ76,Voorblad!$X$67:$Z$98,2,FALSE)))</f>
        <v>Albania</v>
      </c>
      <c r="AZ76" s="694" t="str">
        <f t="shared" ca="1" si="22"/>
        <v>B4</v>
      </c>
      <c r="BA76" s="696">
        <f t="shared" si="23"/>
        <v>8</v>
      </c>
    </row>
    <row r="77" spans="3:53" x14ac:dyDescent="0.25">
      <c r="O77" s="47"/>
      <c r="P77" s="47"/>
      <c r="AB77" s="718">
        <f>D20</f>
        <v>39</v>
      </c>
      <c r="AC77" s="1195" t="str">
        <f ca="1">Groepswedstrijden!$AA$72</f>
        <v>B1</v>
      </c>
      <c r="AD77" s="1195"/>
      <c r="AE77" s="1195" t="str">
        <f ca="1">Groepswedstrijden!$Z$74&amp;Groepswedstrijden!$AC$74&amp;Groepswedstrijden!$AD$74&amp;Groepswedstrijden!$AE$74</f>
        <v>A4D1D2D4E3E4F1</v>
      </c>
      <c r="AF77" s="1195"/>
      <c r="AG77" s="1195" t="e">
        <f>#REF!</f>
        <v>#REF!</v>
      </c>
      <c r="AH77" s="1195"/>
      <c r="AI77" s="1195" t="e">
        <f>#REF!&amp;#REF!&amp;#REF!&amp;#REF!</f>
        <v>#REF!</v>
      </c>
      <c r="AJ77" s="1195"/>
      <c r="AK77" s="718" t="str">
        <f ca="1">'Eindstand Groep'!$Y$8</f>
        <v>B1</v>
      </c>
      <c r="AL77" s="718" t="str">
        <f ca="1">'Eindstand Groep'!$Z$8</f>
        <v>A4D1E4F1</v>
      </c>
      <c r="AM77" s="1200" t="str">
        <f t="shared" ca="1" si="18"/>
        <v>B1</v>
      </c>
      <c r="AN77" s="1200"/>
      <c r="AO77" s="719" t="str">
        <f t="shared" ca="1" si="24"/>
        <v>A4D1E4F1</v>
      </c>
      <c r="AP77" s="266"/>
      <c r="AQ77" s="710" t="str">
        <f ca="1">Voorblad!AA71</f>
        <v>F4</v>
      </c>
      <c r="AR77" s="711"/>
      <c r="AS77" s="693" t="str">
        <f ca="1">IF(AT77=$AR$11,$AQ$11,IF(AT77=$AR$12,$AQ$12,VLOOKUP(AT77,Voorblad!$X$67:$Z$98,2,FALSE)))</f>
        <v>Belgium</v>
      </c>
      <c r="AT77" s="694" t="str">
        <f t="shared" ca="1" si="19"/>
        <v>E1</v>
      </c>
      <c r="AU77" s="693" t="str">
        <f ca="1">IF(AV77=$AR$11,$AQ$11,IF(AV77=$AR$12,$AQ$12,VLOOKUP(AV77,Voorblad!$X$67:$Z$98,2,FALSE)))</f>
        <v>Belgium</v>
      </c>
      <c r="AV77" s="694" t="str">
        <f t="shared" ca="1" si="20"/>
        <v>E1</v>
      </c>
      <c r="AW77" s="693" t="str">
        <f ca="1">IF(AX77=$AR$11,$AQ$11,IF(AX77=$AR$12,$AQ$12,VLOOKUP(AX77,Voorblad!$X$67:$Z$98,2,FALSE)))</f>
        <v>Austria</v>
      </c>
      <c r="AX77" s="694" t="str">
        <f t="shared" ca="1" si="21"/>
        <v>D3</v>
      </c>
      <c r="AY77" s="693" t="str">
        <f ca="1">IF(AZ77=$AR$11,$AQ$11,IF(AZ77=$AR$12,$AQ$12,VLOOKUP(AZ77,Voorblad!$X$67:$Z$98,2,FALSE)))</f>
        <v>Austria</v>
      </c>
      <c r="AZ77" s="694" t="str">
        <f t="shared" ca="1" si="22"/>
        <v>D3</v>
      </c>
      <c r="BA77" s="696">
        <f t="shared" si="23"/>
        <v>10</v>
      </c>
    </row>
    <row r="78" spans="3:53" x14ac:dyDescent="0.25">
      <c r="O78" s="47"/>
      <c r="P78" s="47"/>
      <c r="AB78" s="717">
        <f>D22</f>
        <v>42</v>
      </c>
      <c r="AC78" s="1191" t="str">
        <f ca="1">Groepswedstrijden!$AC$73</f>
        <v>D1D2D4</v>
      </c>
      <c r="AD78" s="1191"/>
      <c r="AE78" s="1191" t="str">
        <f ca="1">Groepswedstrijden!$AD$73</f>
        <v>E1</v>
      </c>
      <c r="AF78" s="1191"/>
      <c r="AG78" s="1191" t="e">
        <f>#REF!</f>
        <v>#REF!</v>
      </c>
      <c r="AH78" s="1191"/>
      <c r="AI78" s="1191" t="e">
        <f>#REF!</f>
        <v>#REF!</v>
      </c>
      <c r="AJ78" s="1191"/>
      <c r="AK78" s="717" t="str">
        <f ca="1">'Eindstand Groep'!$Y$9</f>
        <v>D4</v>
      </c>
      <c r="AL78" s="717" t="str">
        <f ca="1">'Eindstand Groep'!$Z$9</f>
        <v>E1</v>
      </c>
      <c r="AM78" s="1199" t="str">
        <f t="shared" ca="1" si="18"/>
        <v>D4</v>
      </c>
      <c r="AN78" s="1199"/>
      <c r="AO78" s="614" t="str">
        <f t="shared" ca="1" si="24"/>
        <v>E1</v>
      </c>
      <c r="AP78" s="266"/>
      <c r="AQ78" s="710" t="str">
        <f ca="1">Voorblad!AA72</f>
        <v>C2</v>
      </c>
      <c r="AR78" s="711"/>
      <c r="AS78" s="693" t="str">
        <f ca="1">IF(AT78=$AR$11,$AQ$11,IF(AT78=$AR$12,$AQ$12,VLOOKUP(AT78,Voorblad!$X$67:$Z$98,2,FALSE)))</f>
        <v>Croatia</v>
      </c>
      <c r="AT78" s="694" t="str">
        <f t="shared" ca="1" si="19"/>
        <v>B2</v>
      </c>
      <c r="AU78" s="693" t="str">
        <f ca="1">IF(AV78=$AR$11,$AQ$11,IF(AV78=$AR$12,$AQ$12,VLOOKUP(AV78,Voorblad!$X$67:$Z$98,2,FALSE)))</f>
        <v>Croatia</v>
      </c>
      <c r="AV78" s="694" t="str">
        <f t="shared" ca="1" si="20"/>
        <v>B2</v>
      </c>
      <c r="AW78" s="693" t="str">
        <f ca="1">IF(AX78=$AR$11,$AQ$11,IF(AX78=$AR$12,$AQ$12,VLOOKUP(AX78,Voorblad!$X$67:$Z$98,2,FALSE)))</f>
        <v>Belgium</v>
      </c>
      <c r="AX78" s="694" t="str">
        <f t="shared" ca="1" si="21"/>
        <v>E1</v>
      </c>
      <c r="AY78" s="693" t="str">
        <f ca="1">IF(AZ78=$AR$11,$AQ$11,IF(AZ78=$AR$12,$AQ$12,VLOOKUP(AZ78,Voorblad!$X$67:$Z$98,2,FALSE)))</f>
        <v>Belgium</v>
      </c>
      <c r="AZ78" s="694" t="str">
        <f t="shared" ca="1" si="22"/>
        <v>E1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A4B2C3</v>
      </c>
      <c r="AF79" s="1195"/>
      <c r="AG79" s="1195" t="e">
        <f>#REF!</f>
        <v>#REF!</v>
      </c>
      <c r="AH79" s="1195"/>
      <c r="AI79" s="1195" t="e">
        <f>#REF!&amp;#REF!&amp;#REF!</f>
        <v>#REF!</v>
      </c>
      <c r="AJ79" s="1195"/>
      <c r="AK79" s="718" t="str">
        <f ca="1">'Eindstand Groep'!$Y$10</f>
        <v>F3</v>
      </c>
      <c r="AL79" s="718" t="str">
        <f ca="1">'Eindstand Groep'!$Z$10</f>
        <v>A4B2C3</v>
      </c>
      <c r="AM79" s="1200" t="str">
        <f t="shared" ca="1" si="18"/>
        <v>F3</v>
      </c>
      <c r="AN79" s="1200"/>
      <c r="AO79" s="719" t="str">
        <f t="shared" ca="1" si="24"/>
        <v>A4B2C3</v>
      </c>
      <c r="AP79" s="266"/>
      <c r="AQ79" s="710" t="str">
        <f ca="1">Voorblad!AA73</f>
        <v>C4</v>
      </c>
      <c r="AR79" s="711"/>
      <c r="AS79" s="693" t="str">
        <f ca="1">IF(AT79=$AR$11,$AQ$11,IF(AT79=$AR$12,$AQ$12,VLOOKUP(AT79,Voorblad!$X$67:$Z$98,2,FALSE)))</f>
        <v>Czech Republic</v>
      </c>
      <c r="AT79" s="694" t="str">
        <f t="shared" ca="1" si="19"/>
        <v>F4</v>
      </c>
      <c r="AU79" s="693" t="str">
        <f ca="1">IF(AV79=$AR$11,$AQ$11,IF(AV79=$AR$12,$AQ$12,VLOOKUP(AV79,Voorblad!$X$67:$Z$98,2,FALSE)))</f>
        <v>Czech Republic</v>
      </c>
      <c r="AV79" s="694" t="str">
        <f t="shared" ca="1" si="20"/>
        <v>F4</v>
      </c>
      <c r="AW79" s="693" t="str">
        <f ca="1">IF(AX79=$AR$11,$AQ$11,IF(AX79=$AR$12,$AQ$12,VLOOKUP(AX79,Voorblad!$X$67:$Z$98,2,FALSE)))</f>
        <v>Croatia</v>
      </c>
      <c r="AX79" s="694" t="str">
        <f t="shared" ca="1" si="21"/>
        <v>B2</v>
      </c>
      <c r="AY79" s="693" t="str">
        <f ca="1">IF(AZ79=$AR$11,$AQ$11,IF(AZ79=$AR$12,$AQ$12,VLOOKUP(AZ79,Voorblad!$X$67:$Z$98,2,FALSE)))</f>
        <v>Croatia</v>
      </c>
      <c r="AZ79" s="694" t="str">
        <f t="shared" ca="1" si="22"/>
        <v>B2</v>
      </c>
      <c r="BA79" s="696">
        <f t="shared" si="23"/>
        <v>14</v>
      </c>
    </row>
    <row r="80" spans="3:53" x14ac:dyDescent="0.25">
      <c r="AB80" s="717">
        <f>D26</f>
        <v>43</v>
      </c>
      <c r="AC80" s="1191" t="str">
        <f ca="1">Groepswedstrijden!$AD$72</f>
        <v>E2</v>
      </c>
      <c r="AD80" s="1191"/>
      <c r="AE80" s="1191" t="str">
        <f ca="1">Groepswedstrijden!$Z$74&amp;Groepswedstrijden!$AA$74&amp;Groepswedstrijden!$AB$74&amp;Groepswedstrijden!$AC$74</f>
        <v>A4B2C3D1D2D4</v>
      </c>
      <c r="AF80" s="1191"/>
      <c r="AG80" s="1191" t="e">
        <f>#REF!</f>
        <v>#REF!</v>
      </c>
      <c r="AH80" s="1191"/>
      <c r="AI80" s="1191" t="e">
        <f>#REF!&amp;#REF!&amp;#REF!&amp;#REF!</f>
        <v>#REF!</v>
      </c>
      <c r="AJ80" s="1191"/>
      <c r="AK80" s="717" t="str">
        <f ca="1">'Eindstand Groep'!$Y$11</f>
        <v>E2</v>
      </c>
      <c r="AL80" s="717" t="str">
        <f ca="1">'Eindstand Groep'!$Z$11</f>
        <v>A4B2C3D1</v>
      </c>
      <c r="AM80" s="1199" t="str">
        <f t="shared" ca="1" si="18"/>
        <v>E2</v>
      </c>
      <c r="AN80" s="1199"/>
      <c r="AO80" s="614" t="str">
        <f t="shared" ca="1" si="24"/>
        <v>A4B2C3D1</v>
      </c>
      <c r="AP80" s="266"/>
      <c r="AQ80" s="710" t="str">
        <f ca="1">Voorblad!AA74</f>
        <v>D4</v>
      </c>
      <c r="AR80" s="711"/>
      <c r="AS80" s="693" t="str">
        <f ca="1">IF(AT80=$AR$11,$AQ$11,IF(AT80=$AR$12,$AQ$12,VLOOKUP(AT80,Voorblad!$X$67:$Z$98,2,FALSE)))</f>
        <v>Denmark</v>
      </c>
      <c r="AT80" s="694" t="str">
        <f t="shared" ca="1" si="19"/>
        <v>C2</v>
      </c>
      <c r="AU80" s="693" t="str">
        <f ca="1">IF(AV80=$AR$11,$AQ$11,IF(AV80=$AR$12,$AQ$12,VLOOKUP(AV80,Voorblad!$X$67:$Z$98,2,FALSE)))</f>
        <v>Denmark</v>
      </c>
      <c r="AV80" s="694" t="str">
        <f t="shared" ca="1" si="20"/>
        <v>C2</v>
      </c>
      <c r="AW80" s="693" t="str">
        <f ca="1">IF(AX80=$AR$11,$AQ$11,IF(AX80=$AR$12,$AQ$12,VLOOKUP(AX80,Voorblad!$X$67:$Z$98,2,FALSE)))</f>
        <v>Czech Republic</v>
      </c>
      <c r="AX80" s="694" t="str">
        <f t="shared" ca="1" si="21"/>
        <v>F4</v>
      </c>
      <c r="AY80" s="693" t="str">
        <f ca="1">IF(AZ80=$AR$11,$AQ$11,IF(AZ80=$AR$12,$AQ$12,VLOOKUP(AZ80,Voorblad!$X$67:$Z$98,2,FALSE)))</f>
        <v>Czech Republic</v>
      </c>
      <c r="AZ80" s="694" t="str">
        <f t="shared" ca="1" si="22"/>
        <v>F4</v>
      </c>
      <c r="BA80" s="696">
        <f t="shared" si="23"/>
        <v>16</v>
      </c>
    </row>
    <row r="81" spans="21:53" x14ac:dyDescent="0.25">
      <c r="AB81" s="718">
        <f>D28</f>
        <v>44</v>
      </c>
      <c r="AC81" s="1195" t="str">
        <f ca="1">Groepswedstrijden!$AC$72</f>
        <v>D1D2D4</v>
      </c>
      <c r="AD81" s="1195"/>
      <c r="AE81" s="1195" t="str">
        <f ca="1">Groepswedstrijden!$AE$73</f>
        <v>F4</v>
      </c>
      <c r="AF81" s="1195"/>
      <c r="AG81" s="1195" t="e">
        <f>#REF!</f>
        <v>#REF!</v>
      </c>
      <c r="AH81" s="1195"/>
      <c r="AI81" s="1195" t="e">
        <f>#REF!</f>
        <v>#REF!</v>
      </c>
      <c r="AJ81" s="1195"/>
      <c r="AK81" s="718" t="str">
        <f ca="1">'Eindstand Groep'!$Y$12</f>
        <v>D2</v>
      </c>
      <c r="AL81" s="718" t="str">
        <f ca="1">'Eindstand Groep'!$Z$12</f>
        <v>F4</v>
      </c>
      <c r="AM81" s="1200" t="str">
        <f t="shared" ca="1" si="18"/>
        <v>D2</v>
      </c>
      <c r="AN81" s="1200"/>
      <c r="AO81" s="719" t="str">
        <f t="shared" ca="1" si="24"/>
        <v>F4</v>
      </c>
      <c r="AP81" s="266"/>
      <c r="AQ81" s="710" t="str">
        <f ca="1">Voorblad!AA75</f>
        <v>F2</v>
      </c>
      <c r="AR81" s="711"/>
      <c r="AS81" s="693" t="str">
        <f ca="1">IF(AT81=$AR$11,$AQ$11,IF(AT81=$AR$12,$AQ$12,VLOOKUP(AT81,Voorblad!$X$67:$Z$98,2,FALSE)))</f>
        <v>England</v>
      </c>
      <c r="AT81" s="694" t="str">
        <f t="shared" ca="1" si="19"/>
        <v>C4</v>
      </c>
      <c r="AU81" s="693" t="str">
        <f ca="1">IF(AV81=$AR$11,$AQ$11,IF(AV81=$AR$12,$AQ$12,VLOOKUP(AV81,Voorblad!$X$67:$Z$98,2,FALSE)))</f>
        <v>England</v>
      </c>
      <c r="AV81" s="694" t="str">
        <f t="shared" ca="1" si="20"/>
        <v>C4</v>
      </c>
      <c r="AW81" s="693" t="str">
        <f ca="1">IF(AX81=$AR$11,$AQ$11,IF(AX81=$AR$12,$AQ$12,VLOOKUP(AX81,Voorblad!$X$67:$Z$98,2,FALSE)))</f>
        <v>Denmark</v>
      </c>
      <c r="AX81" s="694" t="str">
        <f t="shared" ca="1" si="21"/>
        <v>C2</v>
      </c>
      <c r="AY81" s="693" t="str">
        <f ca="1">IF(AZ81=$AR$11,$AQ$11,IF(AZ81=$AR$12,$AQ$12,VLOOKUP(AZ81,Voorblad!$X$67:$Z$98,2,FALSE)))</f>
        <v>Denmark</v>
      </c>
      <c r="AZ81" s="694" t="str">
        <f t="shared" ca="1" si="22"/>
        <v>C2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A1</v>
      </c>
      <c r="AR82" s="711"/>
      <c r="AS82" s="693" t="str">
        <f ca="1">IF(AT82=$AR$11,$AQ$11,IF(AT82=$AR$12,$AQ$12,VLOOKUP(AT82,Voorblad!$X$67:$Z$98,2,FALSE)))</f>
        <v>France</v>
      </c>
      <c r="AT82" s="694" t="str">
        <f t="shared" ca="1" si="19"/>
        <v>D4</v>
      </c>
      <c r="AU82" s="693" t="str">
        <f ca="1">IF(AV82=$AR$11,$AQ$11,IF(AV82=$AR$12,$AQ$12,VLOOKUP(AV82,Voorblad!$X$67:$Z$98,2,FALSE)))</f>
        <v>Georgia</v>
      </c>
      <c r="AV82" s="694" t="str">
        <f t="shared" ca="1" si="20"/>
        <v>F2</v>
      </c>
      <c r="AW82" s="693" t="str">
        <f ca="1">IF(AX82=$AR$11,$AQ$11,IF(AX82=$AR$12,$AQ$12,VLOOKUP(AX82,Voorblad!$X$67:$Z$98,2,FALSE)))</f>
        <v>England</v>
      </c>
      <c r="AX82" s="694" t="str">
        <f t="shared" ca="1" si="21"/>
        <v>C4</v>
      </c>
      <c r="AY82" s="693" t="str">
        <f ca="1">IF(AZ82=$AR$11,$AQ$11,IF(AZ82=$AR$12,$AQ$12,VLOOKUP(AZ82,Voorblad!$X$67:$Z$98,2,FALSE)))</f>
        <v>France</v>
      </c>
      <c r="AZ82" s="694" t="str">
        <f t="shared" ca="1" si="22"/>
        <v>D4</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B4D3E1B2F4C2C4D4F2A1A3B3D2D1F3E3A2C3E2C1B1A4F1E4G1G2G3G4H1H2H3H4</v>
      </c>
      <c r="AP83" s="755"/>
      <c r="AQ83" s="710" t="str">
        <f ca="1">Voorblad!AA77</f>
        <v>A3</v>
      </c>
      <c r="AR83" s="711"/>
      <c r="AS83" s="693" t="str">
        <f ca="1">IF(AT83=$AR$11,$AQ$11,IF(AT83=$AR$12,$AQ$12,VLOOKUP(AT83,Voorblad!$X$67:$Z$98,2,FALSE)))</f>
        <v>Georgia</v>
      </c>
      <c r="AT83" s="694" t="str">
        <f t="shared" ca="1" si="19"/>
        <v>F2</v>
      </c>
      <c r="AU83" s="693" t="str">
        <f ca="1">IF(AV83=$AR$11,$AQ$11,IF(AV83=$AR$12,$AQ$12,VLOOKUP(AV83,Voorblad!$X$67:$Z$98,2,FALSE)))</f>
        <v>Germany</v>
      </c>
      <c r="AV83" s="694" t="str">
        <f t="shared" ca="1" si="20"/>
        <v>A1</v>
      </c>
      <c r="AW83" s="693" t="str">
        <f ca="1">IF(AX83=$AR$11,$AQ$11,IF(AX83=$AR$12,$AQ$12,VLOOKUP(AX83,Voorblad!$X$67:$Z$98,2,FALSE)))</f>
        <v>France</v>
      </c>
      <c r="AX83" s="694" t="str">
        <f t="shared" ca="1" si="21"/>
        <v>D4</v>
      </c>
      <c r="AY83" s="693" t="str">
        <f ca="1">IF(AZ83=$AR$11,$AQ$11,IF(AZ83=$AR$12,$AQ$12,VLOOKUP(AZ83,Voorblad!$X$67:$Z$98,2,FALSE)))</f>
        <v>Georgia</v>
      </c>
      <c r="AZ83" s="694" t="str">
        <f t="shared" ca="1" si="22"/>
        <v>F2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B3</v>
      </c>
      <c r="AR84" s="711"/>
      <c r="AS84" s="693" t="str">
        <f ca="1">IF(AT84=$AR$11,$AQ$11,IF(AT84=$AR$12,$AQ$12,VLOOKUP(AT84,Voorblad!$X$67:$Z$98,2,FALSE)))</f>
        <v>Hungary</v>
      </c>
      <c r="AT84" s="694" t="str">
        <f t="shared" ca="1" si="19"/>
        <v>A3</v>
      </c>
      <c r="AU84" s="693" t="str">
        <f ca="1">IF(AV84=$AR$11,$AQ$11,IF(AV84=$AR$12,$AQ$12,VLOOKUP(AV84,Voorblad!$X$67:$Z$98,2,FALSE)))</f>
        <v>Hungary</v>
      </c>
      <c r="AV84" s="694" t="str">
        <f t="shared" ca="1" si="20"/>
        <v>A3</v>
      </c>
      <c r="AW84" s="693" t="str">
        <f ca="1">IF(AX84=$AR$11,$AQ$11,IF(AX84=$AR$12,$AQ$12,VLOOKUP(AX84,Voorblad!$X$67:$Z$98,2,FALSE)))</f>
        <v>Georgia</v>
      </c>
      <c r="AX84" s="694" t="str">
        <f t="shared" ca="1" si="21"/>
        <v>F2</v>
      </c>
      <c r="AY84" s="693" t="str">
        <f ca="1">IF(AZ84=$AR$11,$AQ$11,IF(AZ84=$AR$12,$AQ$12,VLOOKUP(AZ84,Voorblad!$X$67:$Z$98,2,FALSE)))</f>
        <v>Germany</v>
      </c>
      <c r="AZ84" s="694" t="str">
        <f t="shared" ca="1" si="22"/>
        <v>A1</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D2</v>
      </c>
      <c r="AR85" s="711"/>
      <c r="AS85" s="693" t="str">
        <f ca="1">IF(AT85=$AR$11,$AQ$11,IF(AT85=$AR$12,$AQ$12,VLOOKUP(AT85,Voorblad!$X$67:$Z$98,2,FALSE)))</f>
        <v>Italy</v>
      </c>
      <c r="AT85" s="694" t="str">
        <f t="shared" ca="1" si="19"/>
        <v>B3</v>
      </c>
      <c r="AU85" s="693" t="str">
        <f ca="1">IF(AV85=$AR$11,$AQ$11,IF(AV85=$AR$12,$AQ$12,VLOOKUP(AV85,Voorblad!$X$67:$Z$98,2,FALSE)))</f>
        <v>Italy</v>
      </c>
      <c r="AV85" s="694" t="str">
        <f t="shared" ca="1" si="20"/>
        <v>B3</v>
      </c>
      <c r="AW85" s="693" t="str">
        <f ca="1">IF(AX85=$AR$11,$AQ$11,IF(AX85=$AR$12,$AQ$12,VLOOKUP(AX85,Voorblad!$X$67:$Z$98,2,FALSE)))</f>
        <v>Germany</v>
      </c>
      <c r="AX85" s="694" t="str">
        <f t="shared" ca="1" si="21"/>
        <v>A1</v>
      </c>
      <c r="AY85" s="693" t="str">
        <f ca="1">IF(AZ85=$AR$11,$AQ$11,IF(AZ85=$AR$12,$AQ$12,VLOOKUP(AZ85,Voorblad!$X$67:$Z$98,2,FALSE)))</f>
        <v>Hungary</v>
      </c>
      <c r="AZ85" s="694" t="str">
        <f t="shared" ca="1" si="22"/>
        <v>A3</v>
      </c>
      <c r="BA85" s="696">
        <f t="shared" ref="BA85:BA105" si="27">BA84+2</f>
        <v>26</v>
      </c>
    </row>
    <row r="86" spans="21:53" x14ac:dyDescent="0.25">
      <c r="AB86" s="717">
        <f t="shared" ref="AB86:AB93" si="28">AB74</f>
        <v>38</v>
      </c>
      <c r="AC86" s="1191" t="str">
        <f ca="1">AM74</f>
        <v>A3</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A3</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Hungary</v>
      </c>
      <c r="AN86" s="1191"/>
      <c r="AO86" s="728" t="str">
        <f ca="1">IF(AI86="","",IF(LEN(AI86)&gt;=2,VLOOKUP(LEFT(AI86,2),Voorblad!$X$67:$Y$98,2)&amp;IF(LEN(AI86)&gt;=4," / "&amp;VLOOKUP(RIGHT(LEFT(AI86,4),2),Voorblad!$X$67:$Y$98,2)&amp;IF(LEN(AI86)&gt;=6," / "&amp;VLOOKUP(RIGHT(LEFT(AI86,6),2),Voorblad!$X$67:$Y$98,2)&amp;IF(LEN(AI86)&gt;=8," / "&amp;VLOOKUP(RIGHT(LEFT(AI86,8),2),Voorblad!$X$67:$Y$98,2),""),""),""),""))</f>
        <v>Italy</v>
      </c>
      <c r="AP86" s="266" t="s">
        <v>322</v>
      </c>
      <c r="AQ86" s="710" t="str">
        <f ca="1">Voorblad!AA80</f>
        <v>D1</v>
      </c>
      <c r="AR86" s="711"/>
      <c r="AS86" s="693" t="str">
        <f ca="1">IF(AT86=$AR$11,$AQ$11,IF(AT86=$AR$12,$AQ$12,VLOOKUP(AT86,Voorblad!$X$67:$Z$98,2,FALSE)))</f>
        <v>Netherlands</v>
      </c>
      <c r="AT86" s="694" t="str">
        <f t="shared" ca="1" si="19"/>
        <v>D2</v>
      </c>
      <c r="AU86" s="693" t="str">
        <f ca="1">IF(AV86=$AR$11,$AQ$11,IF(AV86=$AR$12,$AQ$12,VLOOKUP(AV86,Voorblad!$X$67:$Z$98,2,FALSE)))</f>
        <v>Netherlands</v>
      </c>
      <c r="AV86" s="694" t="str">
        <f t="shared" ca="1" si="20"/>
        <v>D2</v>
      </c>
      <c r="AW86" s="693" t="str">
        <f ca="1">IF(AX86=$AR$11,$AQ$11,IF(AX86=$AR$12,$AQ$12,VLOOKUP(AX86,Voorblad!$X$67:$Z$98,2,FALSE)))</f>
        <v>Hungary</v>
      </c>
      <c r="AX86" s="694" t="str">
        <f t="shared" ca="1" si="21"/>
        <v>A3</v>
      </c>
      <c r="AY86" s="693" t="str">
        <f ca="1">IF(AZ86=$AR$11,$AQ$11,IF(AZ86=$AR$12,$AQ$12,VLOOKUP(AZ86,Voorblad!$X$67:$Z$98,2,FALSE)))</f>
        <v>Netherlands</v>
      </c>
      <c r="AZ86" s="694" t="str">
        <f t="shared" ca="1" si="22"/>
        <v>D2</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Germany</v>
      </c>
      <c r="AN87" s="1195"/>
      <c r="AO87" s="729" t="str">
        <f ca="1">IF(AI87="","",IF(LEN(AI87)&gt;=2,VLOOKUP(LEFT(AI87,2),Voorblad!$X$67:$Y$98,2)&amp;IF(LEN(AI87)&gt;=4," / "&amp;VLOOKUP(RIGHT(LEFT(AI87,4),2),Voorblad!$X$67:$Y$98,2)&amp;IF(LEN(AI87)&gt;=6," / "&amp;VLOOKUP(RIGHT(LEFT(AI87,6),2),Voorblad!$X$67:$Y$98,2)&amp;IF(LEN(AI87)&gt;=8," / "&amp;VLOOKUP(RIGHT(LEFT(AI87,8),2),Voorblad!$X$67:$Y$98,2),""),""),""),""))</f>
        <v>Denmark</v>
      </c>
      <c r="AP87" s="266" t="s">
        <v>322</v>
      </c>
      <c r="AQ87" s="710" t="str">
        <f ca="1">Voorblad!AA81</f>
        <v>F3</v>
      </c>
      <c r="AR87" s="711"/>
      <c r="AS87" s="693" t="str">
        <f ca="1">IF(AT87=$AR$11,$AQ$11,IF(AT87=$AR$12,$AQ$12,VLOOKUP(AT87,Voorblad!$X$67:$Z$98,2,FALSE)))</f>
        <v>Poland</v>
      </c>
      <c r="AT87" s="694" t="str">
        <f t="shared" ca="1" si="19"/>
        <v>D1</v>
      </c>
      <c r="AU87" s="693" t="str">
        <f ca="1">IF(AV87=$AR$11,$AQ$11,IF(AV87=$AR$12,$AQ$12,VLOOKUP(AV87,Voorblad!$X$67:$Z$98,2,FALSE)))</f>
        <v>Poland</v>
      </c>
      <c r="AV87" s="694" t="str">
        <f t="shared" ca="1" si="20"/>
        <v>D1</v>
      </c>
      <c r="AW87" s="693" t="str">
        <f ca="1">IF(AX87=$AR$11,$AQ$11,IF(AX87=$AR$12,$AQ$12,VLOOKUP(AX87,Voorblad!$X$67:$Z$98,2,FALSE)))</f>
        <v>Italy</v>
      </c>
      <c r="AX87" s="694" t="str">
        <f t="shared" ca="1" si="21"/>
        <v>B3</v>
      </c>
      <c r="AY87" s="693" t="str">
        <f ca="1">IF(AZ87=$AR$11,$AQ$11,IF(AZ87=$AR$12,$AQ$12,VLOOKUP(AZ87,Voorblad!$X$67:$Z$98,2,FALSE)))</f>
        <v>Poland</v>
      </c>
      <c r="AZ87" s="694" t="str">
        <f t="shared" ca="1" si="22"/>
        <v>D1</v>
      </c>
      <c r="BA87" s="696">
        <f t="shared" si="27"/>
        <v>30</v>
      </c>
    </row>
    <row r="88" spans="21:53" x14ac:dyDescent="0.25">
      <c r="U88" s="217"/>
      <c r="AB88" s="717">
        <f t="shared" si="28"/>
        <v>40</v>
      </c>
      <c r="AC88" s="1191" t="str">
        <f t="shared" ca="1" si="25"/>
        <v>C4</v>
      </c>
      <c r="AD88" s="1191"/>
      <c r="AE88" s="1191" t="str">
        <f t="shared" ca="1" si="26"/>
        <v>D1E4F1</v>
      </c>
      <c r="AF88" s="1191"/>
      <c r="AG88" s="1191" t="str">
        <f t="shared" ca="1" si="29"/>
        <v>C4</v>
      </c>
      <c r="AH88" s="1191"/>
      <c r="AI88" s="1191" t="str">
        <f t="shared" ca="1" si="30"/>
        <v>D1F1E4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D1F1E4&amp;&amp;D3E1F4D4F2D2F3E3E2????????????????????????????????????????????????????????????????</v>
      </c>
      <c r="AM88" s="1191" t="str">
        <f ca="1">IF(AG88="","",IF(LEN(AG88)&gt;=2,VLOOKUP(LEFT(AG88,2),Voorblad!$X$67:$Y$98,2)&amp;IF(LEN(AG88)&gt;=4," / "&amp;VLOOKUP(RIGHT(LEFT(AG88,4),2),Voorblad!$X$67:$Y$98,2)&amp;IF(LEN(AG88)&gt;=6," / "&amp;VLOOKUP(RIGHT(LEFT(AG88,6),2),Voorblad!$X$67:$Y$98,2)&amp;IF(LEN(AG88)&gt;=8," / "&amp;VLOOKUP(RIGHT(LEFT(AG88,8),2),Voorblad!$X$67:$Y$98,2),""),""),""),""))</f>
        <v>England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Poland / Turkey / Ukraine</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Poland</v>
      </c>
      <c r="AX88" s="694" t="str">
        <f t="shared" ca="1" si="21"/>
        <v>D1</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A4D1E4F1</v>
      </c>
      <c r="AF89" s="1195"/>
      <c r="AG89" s="1195" t="str">
        <f t="shared" ca="1" si="29"/>
        <v>B1</v>
      </c>
      <c r="AH89" s="1195"/>
      <c r="AI89" s="1195" t="str">
        <f t="shared" ca="1" si="30"/>
        <v>D1A4F1E4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D1A4F1E4&amp;&amp;D3E1F4D4F2A1A3D2F3E3A2E2????????????????????????????????????????????????????????????????</v>
      </c>
      <c r="AM89" s="1195" t="str">
        <f ca="1">IF(AG89="","",IF(LEN(AG89)&gt;=2,VLOOKUP(LEFT(AG89,2),Voorblad!$X$67:$Y$98,2)&amp;IF(LEN(AG89)&gt;=4," / "&amp;VLOOKUP(RIGHT(LEFT(AG89,4),2),Voorblad!$X$67:$Y$98,2)&amp;IF(LEN(AG89)&gt;=6," / "&amp;VLOOKUP(RIGHT(LEFT(AG89,6),2),Voorblad!$X$67:$Y$98,2)&amp;IF(LEN(AG89)&gt;=8," / "&amp;VLOOKUP(RIGHT(LEFT(AG89,8),2),Voorblad!$X$67:$Y$98,2),""),""),""),""))</f>
        <v>Spain</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Poland / Switzerland / Turkey / Ukraine</v>
      </c>
      <c r="AP89" s="266" t="s">
        <v>322</v>
      </c>
      <c r="AQ89" s="710" t="str">
        <f ca="1">Voorblad!AA83</f>
        <v>A2</v>
      </c>
      <c r="AR89" s="711"/>
      <c r="AS89" s="693" t="str">
        <f ca="1">IF(AT89=$AR$11,$AQ$11,IF(AT89=$AR$12,$AQ$12,VLOOKUP(AT89,Voorblad!$X$67:$Z$98,2,FALSE)))</f>
        <v>Romania</v>
      </c>
      <c r="AT89" s="694" t="str">
        <f t="shared" ca="1" si="19"/>
        <v>E3</v>
      </c>
      <c r="AU89" s="693" t="str">
        <f ca="1">IF(AV89=$AR$11,$AQ$11,IF(AV89=$AR$12,$AQ$12,VLOOKUP(AV89,Voorblad!$X$67:$Z$98,2,FALSE)))</f>
        <v>Romania</v>
      </c>
      <c r="AV89" s="694" t="str">
        <f t="shared" ca="1" si="20"/>
        <v>E3</v>
      </c>
      <c r="AW89" s="693" t="str">
        <f ca="1">IF(AX89=$AR$11,$AQ$11,IF(AX89=$AR$12,$AQ$12,VLOOKUP(AX89,Voorblad!$X$67:$Z$98,2,FALSE)))</f>
        <v>Portugal</v>
      </c>
      <c r="AX89" s="694" t="str">
        <f t="shared" ca="1" si="21"/>
        <v>F3</v>
      </c>
      <c r="AY89" s="693" t="str">
        <f ca="1">IF(AZ89=$AR$11,$AQ$11,IF(AZ89=$AR$12,$AQ$12,VLOOKUP(AZ89,Voorblad!$X$67:$Z$98,2,FALSE)))</f>
        <v>Romania</v>
      </c>
      <c r="AZ89" s="694" t="str">
        <f t="shared" ca="1" si="22"/>
        <v>E3</v>
      </c>
      <c r="BA89" s="696">
        <f t="shared" si="27"/>
        <v>34</v>
      </c>
    </row>
    <row r="90" spans="21:53" x14ac:dyDescent="0.25">
      <c r="U90" s="217"/>
      <c r="AB90" s="717">
        <f t="shared" si="28"/>
        <v>42</v>
      </c>
      <c r="AC90" s="1191" t="str">
        <f t="shared" ca="1" si="25"/>
        <v>D4</v>
      </c>
      <c r="AD90" s="1191"/>
      <c r="AE90" s="1191" t="str">
        <f t="shared" ca="1" si="26"/>
        <v>E1</v>
      </c>
      <c r="AF90" s="1191"/>
      <c r="AG90" s="1191" t="str">
        <f t="shared" ca="1" si="29"/>
        <v>D4</v>
      </c>
      <c r="AH90" s="1191"/>
      <c r="AI90" s="1191" t="str">
        <f t="shared" ca="1" si="30"/>
        <v>E1</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France</v>
      </c>
      <c r="AN90" s="1191"/>
      <c r="AO90" s="728" t="str">
        <f ca="1">IF(AI90="","",IF(LEN(AI90)&gt;=2,VLOOKUP(LEFT(AI90,2),Voorblad!$X$67:$Y$98,2)&amp;IF(LEN(AI90)&gt;=4," / "&amp;VLOOKUP(RIGHT(LEFT(AI90,4),2),Voorblad!$X$67:$Y$98,2)&amp;IF(LEN(AI90)&gt;=6," / "&amp;VLOOKUP(RIGHT(LEFT(AI90,6),2),Voorblad!$X$67:$Y$98,2)&amp;IF(LEN(AI90)&gt;=8," / "&amp;VLOOKUP(RIGHT(LEFT(AI90,8),2),Voorblad!$X$67:$Y$98,2),""),""),""),""))</f>
        <v>Belgium</v>
      </c>
      <c r="AP90" s="266" t="s">
        <v>322</v>
      </c>
      <c r="AQ90" s="710" t="str">
        <f ca="1">Voorblad!AA84</f>
        <v>C3</v>
      </c>
      <c r="AR90" s="711"/>
      <c r="AS90" s="693" t="str">
        <f ca="1">IF(AT90=$AR$11,$AQ$11,IF(AT90=$AR$12,$AQ$12,VLOOKUP(AT90,Voorblad!$X$67:$Z$98,2,FALSE)))</f>
        <v>Scotland</v>
      </c>
      <c r="AT90" s="694" t="str">
        <f t="shared" ca="1" si="19"/>
        <v>A2</v>
      </c>
      <c r="AU90" s="693" t="str">
        <f ca="1">IF(AV90=$AR$11,$AQ$11,IF(AV90=$AR$12,$AQ$12,VLOOKUP(AV90,Voorblad!$X$67:$Z$98,2,FALSE)))</f>
        <v>Scotland</v>
      </c>
      <c r="AV90" s="694" t="str">
        <f t="shared" ca="1" si="20"/>
        <v>A2</v>
      </c>
      <c r="AW90" s="693" t="str">
        <f ca="1">IF(AX90=$AR$11,$AQ$11,IF(AX90=$AR$12,$AQ$12,VLOOKUP(AX90,Voorblad!$X$67:$Z$98,2,FALSE)))</f>
        <v>Romania</v>
      </c>
      <c r="AX90" s="694" t="str">
        <f t="shared" ca="1" si="21"/>
        <v>E3</v>
      </c>
      <c r="AY90" s="693" t="str">
        <f ca="1">IF(AZ90=$AR$11,$AQ$11,IF(AZ90=$AR$12,$AQ$12,VLOOKUP(AZ90,Voorblad!$X$67:$Z$98,2,FALSE)))</f>
        <v>Scotland</v>
      </c>
      <c r="AZ90" s="694" t="str">
        <f t="shared" ca="1" si="22"/>
        <v>A2</v>
      </c>
      <c r="BA90" s="696">
        <f t="shared" si="27"/>
        <v>36</v>
      </c>
    </row>
    <row r="91" spans="21:53" x14ac:dyDescent="0.25">
      <c r="U91" s="217"/>
      <c r="AB91" s="718">
        <f t="shared" si="28"/>
        <v>41</v>
      </c>
      <c r="AC91" s="1195" t="str">
        <f t="shared" ca="1" si="25"/>
        <v>F3</v>
      </c>
      <c r="AD91" s="1195"/>
      <c r="AE91" s="1195" t="str">
        <f t="shared" ca="1" si="26"/>
        <v>A4B2C3</v>
      </c>
      <c r="AF91" s="1195"/>
      <c r="AG91" s="1195" t="str">
        <f t="shared" ca="1" si="29"/>
        <v>F3</v>
      </c>
      <c r="AH91" s="1195"/>
      <c r="AI91" s="1195" t="str">
        <f t="shared" ca="1" si="30"/>
        <v>B2C3A4</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B2C3A4&amp;&amp;B4C2C4A1A3B3A2C1B1????????????????????????????????????????????????????????????????</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Croatia / Serbia / Switzerland</v>
      </c>
      <c r="AP91" s="266" t="s">
        <v>322</v>
      </c>
      <c r="AQ91" s="710" t="str">
        <f ca="1">Voorblad!AA85</f>
        <v>E2</v>
      </c>
      <c r="AR91" s="711"/>
      <c r="AS91" s="693" t="str">
        <f ca="1">IF(AT91=$AR$11,$AQ$11,IF(AT91=$AR$12,$AQ$12,VLOOKUP(AT91,Voorblad!$X$67:$Z$98,2,FALSE)))</f>
        <v>Serbia</v>
      </c>
      <c r="AT91" s="694" t="str">
        <f t="shared" ca="1" si="19"/>
        <v>C3</v>
      </c>
      <c r="AU91" s="693" t="str">
        <f ca="1">IF(AV91=$AR$11,$AQ$11,IF(AV91=$AR$12,$AQ$12,VLOOKUP(AV91,Voorblad!$X$67:$Z$98,2,FALSE)))</f>
        <v>Serbia</v>
      </c>
      <c r="AV91" s="694" t="str">
        <f t="shared" ca="1" si="20"/>
        <v>C3</v>
      </c>
      <c r="AW91" s="693" t="str">
        <f ca="1">IF(AX91=$AR$11,$AQ$11,IF(AX91=$AR$12,$AQ$12,VLOOKUP(AX91,Voorblad!$X$67:$Z$98,2,FALSE)))</f>
        <v>Scotland</v>
      </c>
      <c r="AX91" s="694" t="str">
        <f t="shared" ca="1" si="21"/>
        <v>A2</v>
      </c>
      <c r="AY91" s="693" t="str">
        <f ca="1">IF(AZ91=$AR$11,$AQ$11,IF(AZ91=$AR$12,$AQ$12,VLOOKUP(AZ91,Voorblad!$X$67:$Z$98,2,FALSE)))</f>
        <v>Serbia</v>
      </c>
      <c r="AZ91" s="694" t="str">
        <f t="shared" ca="1" si="22"/>
        <v>C3</v>
      </c>
      <c r="BA91" s="696">
        <f t="shared" si="27"/>
        <v>38</v>
      </c>
    </row>
    <row r="92" spans="21:53" x14ac:dyDescent="0.25">
      <c r="U92" s="217"/>
      <c r="AB92" s="717">
        <f t="shared" si="28"/>
        <v>43</v>
      </c>
      <c r="AC92" s="1191" t="str">
        <f t="shared" ca="1" si="25"/>
        <v>E2</v>
      </c>
      <c r="AD92" s="1191"/>
      <c r="AE92" s="1191" t="str">
        <f t="shared" ca="1" si="26"/>
        <v>A4B2C3D1</v>
      </c>
      <c r="AF92" s="1191"/>
      <c r="AG92" s="1191" t="str">
        <f t="shared" ca="1" si="29"/>
        <v>E2</v>
      </c>
      <c r="AH92" s="1191"/>
      <c r="AI92" s="1191" t="str">
        <f t="shared" ca="1" si="30"/>
        <v>B2D1C3A4</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B2D1C3A4&amp;&amp;B4D3C2C4D4A1A3B3D2A2C1B1????????????????????????????????????????????????????????????????</v>
      </c>
      <c r="AM92" s="1191" t="str">
        <f ca="1">IF(AG92="","",IF(LEN(AG92)&gt;=2,VLOOKUP(LEFT(AG92,2),Voorblad!$X$67:$Y$98,2)&amp;IF(LEN(AG92)&gt;=4," / "&amp;VLOOKUP(RIGHT(LEFT(AG92,4),2),Voorblad!$X$67:$Y$98,2)&amp;IF(LEN(AG92)&gt;=6," / "&amp;VLOOKUP(RIGHT(LEFT(AG92,6),2),Voorblad!$X$67:$Y$98,2)&amp;IF(LEN(AG92)&gt;=8," / "&amp;VLOOKUP(RIGHT(LEFT(AG92,8),2),Voorblad!$X$67:$Y$98,2),""),""),""),""))</f>
        <v>Slovakia</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Croatia / Poland / Serbia / Switzerland</v>
      </c>
      <c r="AP92" s="266" t="s">
        <v>322</v>
      </c>
      <c r="AQ92" s="710" t="str">
        <f ca="1">Voorblad!AA86</f>
        <v>C1</v>
      </c>
      <c r="AR92" s="711"/>
      <c r="AS92" s="693" t="str">
        <f ca="1">IF(AT92=$AR$11,$AQ$11,IF(AT92=$AR$12,$AQ$12,VLOOKUP(AT92,Voorblad!$X$67:$Z$98,2,FALSE)))</f>
        <v>Slovakia</v>
      </c>
      <c r="AT92" s="694" t="str">
        <f t="shared" ca="1" si="19"/>
        <v>E2</v>
      </c>
      <c r="AU92" s="693" t="str">
        <f ca="1">IF(AV92=$AR$11,$AQ$11,IF(AV92=$AR$12,$AQ$12,VLOOKUP(AV92,Voorblad!$X$67:$Z$98,2,FALSE)))</f>
        <v>Slovakia</v>
      </c>
      <c r="AV92" s="694" t="str">
        <f t="shared" ca="1" si="20"/>
        <v>E2</v>
      </c>
      <c r="AW92" s="693" t="str">
        <f ca="1">IF(AX92=$AR$11,$AQ$11,IF(AX92=$AR$12,$AQ$12,VLOOKUP(AX92,Voorblad!$X$67:$Z$98,2,FALSE)))</f>
        <v>Slovakia</v>
      </c>
      <c r="AX92" s="694" t="str">
        <f t="shared" ca="1" si="21"/>
        <v>E2</v>
      </c>
      <c r="AY92" s="693" t="str">
        <f ca="1">IF(AZ92=$AR$11,$AQ$11,IF(AZ92=$AR$12,$AQ$12,VLOOKUP(AZ92,Voorblad!$X$67:$Z$98,2,FALSE)))</f>
        <v>Slovakia</v>
      </c>
      <c r="AZ92" s="694" t="str">
        <f t="shared" ca="1" si="22"/>
        <v>E2</v>
      </c>
      <c r="BA92" s="696">
        <f t="shared" si="27"/>
        <v>40</v>
      </c>
    </row>
    <row r="93" spans="21:53" x14ac:dyDescent="0.25">
      <c r="U93" s="217"/>
      <c r="AB93" s="718">
        <f t="shared" si="28"/>
        <v>44</v>
      </c>
      <c r="AC93" s="1195" t="str">
        <f t="shared" ca="1" si="25"/>
        <v>D2</v>
      </c>
      <c r="AD93" s="1195"/>
      <c r="AE93" s="1195" t="str">
        <f t="shared" ca="1" si="26"/>
        <v>F4</v>
      </c>
      <c r="AF93" s="1195"/>
      <c r="AG93" s="1195" t="str">
        <f t="shared" ca="1" si="29"/>
        <v>D2</v>
      </c>
      <c r="AH93" s="1195"/>
      <c r="AI93" s="1195" t="str">
        <f t="shared" ca="1" si="30"/>
        <v>F4</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Netherlands</v>
      </c>
      <c r="AN93" s="1195"/>
      <c r="AO93" s="729" t="str">
        <f ca="1">IF(AI93="","",IF(LEN(AI93)&gt;=2,VLOOKUP(LEFT(AI93,2),Voorblad!$X$67:$Y$98,2)&amp;IF(LEN(AI93)&gt;=4," / "&amp;VLOOKUP(RIGHT(LEFT(AI93,4),2),Voorblad!$X$67:$Y$98,2)&amp;IF(LEN(AI93)&gt;=6," / "&amp;VLOOKUP(RIGHT(LEFT(AI93,6),2),Voorblad!$X$67:$Y$98,2)&amp;IF(LEN(AI93)&gt;=8," / "&amp;VLOOKUP(RIGHT(LEFT(AI93,8),2),Voorblad!$X$67:$Y$98,2),""),""),""),""))</f>
        <v>Czech Republic</v>
      </c>
      <c r="AP93" s="266" t="s">
        <v>322</v>
      </c>
      <c r="AQ93" s="710" t="str">
        <f ca="1">Voorblad!AA87</f>
        <v>B1</v>
      </c>
      <c r="AR93" s="711"/>
      <c r="AS93" s="693" t="str">
        <f ca="1">IF(AT93=$AR$11,$AQ$11,IF(AT93=$AR$12,$AQ$12,VLOOKUP(AT93,Voorblad!$X$67:$Z$98,2,FALSE)))</f>
        <v>Slovenia</v>
      </c>
      <c r="AT93" s="694" t="str">
        <f t="shared" ca="1" si="19"/>
        <v>C1</v>
      </c>
      <c r="AU93" s="693" t="str">
        <f ca="1">IF(AV93=$AR$11,$AQ$11,IF(AV93=$AR$12,$AQ$12,VLOOKUP(AV93,Voorblad!$X$67:$Z$98,2,FALSE)))</f>
        <v>Slovenia</v>
      </c>
      <c r="AV93" s="694" t="str">
        <f t="shared" ca="1" si="20"/>
        <v>C1</v>
      </c>
      <c r="AW93" s="693" t="str">
        <f ca="1">IF(AX93=$AR$11,$AQ$11,IF(AX93=$AR$12,$AQ$12,VLOOKUP(AX93,Voorblad!$X$67:$Z$98,2,FALSE)))</f>
        <v>Slovenia</v>
      </c>
      <c r="AX93" s="694" t="str">
        <f t="shared" ca="1" si="21"/>
        <v>C1</v>
      </c>
      <c r="AY93" s="693" t="str">
        <f ca="1">IF(AZ93=$AR$11,$AQ$11,IF(AZ93=$AR$12,$AQ$12,VLOOKUP(AZ93,Voorblad!$X$67:$Z$98,2,FALSE)))</f>
        <v>Slovenia</v>
      </c>
      <c r="AZ93" s="694" t="str">
        <f t="shared" ca="1" si="22"/>
        <v>C1</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A4</v>
      </c>
      <c r="AR94" s="711"/>
      <c r="AS94" s="693" t="str">
        <f ca="1">IF(AT94=$AR$11,$AQ$11,IF(AT94=$AR$12,$AQ$12,VLOOKUP(AT94,Voorblad!$X$67:$Z$98,2,FALSE)))</f>
        <v>Spain</v>
      </c>
      <c r="AT94" s="694" t="str">
        <f t="shared" ca="1" si="19"/>
        <v>B1</v>
      </c>
      <c r="AU94" s="693" t="str">
        <f ca="1">IF(AV94=$AR$11,$AQ$11,IF(AV94=$AR$12,$AQ$12,VLOOKUP(AV94,Voorblad!$X$67:$Z$98,2,FALSE)))</f>
        <v>Spain</v>
      </c>
      <c r="AV94" s="694" t="str">
        <f t="shared" ca="1" si="20"/>
        <v>B1</v>
      </c>
      <c r="AW94" s="693" t="str">
        <f ca="1">IF(AX94=$AR$11,$AQ$11,IF(AX94=$AR$12,$AQ$12,VLOOKUP(AX94,Voorblad!$X$67:$Z$98,2,FALSE)))</f>
        <v>Spain</v>
      </c>
      <c r="AX94" s="694" t="str">
        <f t="shared" ca="1" si="21"/>
        <v>B1</v>
      </c>
      <c r="AY94" s="693" t="str">
        <f ca="1">IF(AZ94=$AR$11,$AQ$11,IF(AZ94=$AR$12,$AQ$12,VLOOKUP(AZ94,Voorblad!$X$67:$Z$98,2,FALSE)))</f>
        <v>Spain</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Switzerland</v>
      </c>
      <c r="AT95" s="694" t="str">
        <f t="shared" ca="1" si="19"/>
        <v>A4</v>
      </c>
      <c r="AU95" s="693" t="str">
        <f ca="1">IF(AV95=$AR$11,$AQ$11,IF(AV95=$AR$12,$AQ$12,VLOOKUP(AV95,Voorblad!$X$67:$Z$98,2,FALSE)))</f>
        <v>Switzerland</v>
      </c>
      <c r="AV95" s="694" t="str">
        <f t="shared" ca="1" si="20"/>
        <v>A4</v>
      </c>
      <c r="AW95" s="693" t="str">
        <f ca="1">IF(AX95=$AR$11,$AQ$11,IF(AX95=$AR$12,$AQ$12,VLOOKUP(AX95,Voorblad!$X$67:$Z$98,2,FALSE)))</f>
        <v>Switzerland</v>
      </c>
      <c r="AX95" s="694" t="str">
        <f t="shared" ca="1" si="21"/>
        <v>A4</v>
      </c>
      <c r="AY95" s="693" t="str">
        <f ca="1">IF(AZ95=$AR$11,$AQ$11,IF(AZ95=$AR$12,$AQ$12,VLOOKUP(AZ95,Voorblad!$X$67:$Z$98,2,FALSE)))</f>
        <v>Switzerland</v>
      </c>
      <c r="AZ95" s="694" t="str">
        <f t="shared" ca="1" si="22"/>
        <v>A4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B1&amp;&amp;B4D3E1B2F4D4F2A1A3B3D2D1F3E3A2E2A4F1E4????????????????????????????????????????????????????????????????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Spain</v>
      </c>
      <c r="AN96" s="1192"/>
      <c r="AO96" s="717" t="str">
        <f ca="1">IF(AI96="","",IF(LEN(AI96)&gt;=2,VLOOKUP(LEFT(AI96,2),Voorblad!$X$67:$Y$98,2)&amp;IF(LEN(AI96)&gt;=4," / "&amp;VLOOKUP(RIGHT(LEFT(AI96,4),2),Voorblad!$X$67:$Y$98,2),""),""))</f>
        <v>Germany</v>
      </c>
      <c r="AP96" s="266"/>
      <c r="AQ96" s="710" t="str">
        <f ca="1">Voorblad!AA90</f>
        <v>E4</v>
      </c>
      <c r="AR96" s="711"/>
      <c r="AS96" s="693" t="str">
        <f ca="1">IF(AT96=$AR$11,$AQ$11,IF(AT96=$AR$12,$AQ$12,VLOOKUP(AT96,Voorblad!$X$67:$Z$98,2,FALSE)))</f>
        <v>Turkey</v>
      </c>
      <c r="AT96" s="694" t="str">
        <f t="shared" ca="1" si="19"/>
        <v>F1</v>
      </c>
      <c r="AU96" s="693" t="str">
        <f ca="1">IF(AV96=$AR$11,$AQ$11,IF(AV96=$AR$12,$AQ$12,VLOOKUP(AV96,Voorblad!$X$67:$Z$98,2,FALSE)))</f>
        <v>Turkey</v>
      </c>
      <c r="AV96" s="694" t="str">
        <f t="shared" ca="1" si="20"/>
        <v>F1</v>
      </c>
      <c r="AW96" s="693" t="str">
        <f ca="1">IF(AX96=$AR$11,$AQ$11,IF(AX96=$AR$12,$AQ$12,VLOOKUP(AX96,Voorblad!$X$67:$Z$98,2,FALSE)))</f>
        <v>Turkey</v>
      </c>
      <c r="AX96" s="694" t="str">
        <f t="shared" ca="1" si="21"/>
        <v>F1</v>
      </c>
      <c r="AY96" s="693" t="str">
        <f ca="1">IF(AZ96=$AR$11,$AQ$11,IF(AZ96=$AR$12,$AQ$12,VLOOKUP(AZ96,Voorblad!$X$67:$Z$98,2,FALSE)))</f>
        <v>Turkey</v>
      </c>
      <c r="AZ96" s="694" t="str">
        <f t="shared" ca="1" si="22"/>
        <v>F1</v>
      </c>
      <c r="BA96" s="696">
        <f t="shared" si="27"/>
        <v>48</v>
      </c>
    </row>
    <row r="97" spans="28:53" x14ac:dyDescent="0.25">
      <c r="AB97" s="718">
        <f>D38</f>
        <v>46</v>
      </c>
      <c r="AC97" s="1195" t="str">
        <f ca="1">AG25</f>
        <v>F3</v>
      </c>
      <c r="AD97" s="1195"/>
      <c r="AE97" s="1195" t="str">
        <f ca="1">AG23</f>
        <v>D4</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D4</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F3&amp;&amp;B4B2F4C2C4F2A1A3B3A2C3C1B1A4F1????????????????????????????????????????????????????????????????</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D4&amp;&amp;D3E1D2D1E3E2E4????????????????????????????????????????????????????????????????</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France</v>
      </c>
      <c r="AP97" s="266"/>
      <c r="AQ97" s="710" t="str">
        <f ca="1">Voorblad!AA91</f>
        <v>G1</v>
      </c>
      <c r="AR97" s="711"/>
      <c r="AS97" s="693" t="str">
        <f ca="1">IF(AT97=$AR$11,$AQ$11,IF(AT97=$AR$12,$AQ$12,VLOOKUP(AT97,Voorblad!$X$67:$Z$98,2,FALSE)))</f>
        <v>Ukraine</v>
      </c>
      <c r="AT97" s="694" t="str">
        <f t="shared" ca="1" si="19"/>
        <v>E4</v>
      </c>
      <c r="AU97" s="693" t="str">
        <f ca="1">IF(AV97=$AR$11,$AQ$11,IF(AV97=$AR$12,$AQ$12,VLOOKUP(AV97,Voorblad!$X$67:$Z$98,2,FALSE)))</f>
        <v>Ukraine</v>
      </c>
      <c r="AV97" s="694" t="str">
        <f t="shared" ca="1" si="20"/>
        <v>E4</v>
      </c>
      <c r="AW97" s="693" t="str">
        <f ca="1">IF(AX97=$AR$11,$AQ$11,IF(AX97=$AR$12,$AQ$12,VLOOKUP(AX97,Voorblad!$X$67:$Z$98,2,FALSE)))</f>
        <v>Ukraine</v>
      </c>
      <c r="AX97" s="694" t="str">
        <f t="shared" ca="1" si="21"/>
        <v>E4</v>
      </c>
      <c r="AY97" s="693" t="str">
        <f ca="1">IF(AZ97=$AR$11,$AQ$11,IF(AZ97=$AR$12,$AQ$12,VLOOKUP(AZ97,Voorblad!$X$67:$Z$98,2,FALSE)))</f>
        <v>Ukraine</v>
      </c>
      <c r="AZ97" s="694" t="str">
        <f t="shared" ca="1" si="22"/>
        <v>E4</v>
      </c>
      <c r="BA97" s="696">
        <f t="shared" si="27"/>
        <v>50</v>
      </c>
    </row>
    <row r="98" spans="28:53" x14ac:dyDescent="0.25">
      <c r="AB98" s="717">
        <f>D40</f>
        <v>48</v>
      </c>
      <c r="AC98" s="1191" t="str">
        <f ca="1">AG19</f>
        <v>C4D1</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C4D1</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C4D1&amp;&amp;D3E1F4C2D4F2D2F3E3C3E2C1F1E4????????????????????????????????????????????????????????????????</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B3&amp;&amp;B4B2A1A3A2B1A4????????????????????????????????????????????????????????????????</v>
      </c>
      <c r="AM98" s="1192" t="str">
        <f ca="1">IF(AG98="","",IF(LEN(AG98)&gt;=2,VLOOKUP(LEFT(AG98,2),Voorblad!$X$67:$Y$98,2)&amp;IF(LEN(AG98)&gt;=4," / "&amp;VLOOKUP(RIGHT(LEFT(AG98,4),2),Voorblad!$X$67:$Y$98,2),""),""))</f>
        <v>England / Poland</v>
      </c>
      <c r="AN98" s="1192"/>
      <c r="AO98" s="717" t="str">
        <f ca="1">IF(AI98="","",IF(LEN(AI98)&gt;=2,VLOOKUP(LEFT(AI98,2),Voorblad!$X$67:$Y$98,2)&amp;IF(LEN(AI98)&gt;=4," / "&amp;VLOOKUP(RIGHT(LEFT(AI98,4),2),Voorblad!$X$67:$Y$98,2),""),""))</f>
        <v>Italy</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E2C3</v>
      </c>
      <c r="AD99" s="1195"/>
      <c r="AE99" s="1195" t="str">
        <f ca="1">AG29</f>
        <v>D2</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C3E2</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D2</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C3E2&amp;&amp;B4D3E1B2C2C4D4A1A3B3D2D1E3A2C1B1A4E4????????????????????????????????????????????????????????????????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D2&amp;&amp;D3F4D4F2D1F3F1????????????????????????????????????????????????????????????????</v>
      </c>
      <c r="AM99" s="1190" t="str">
        <f ca="1">IF(AG99="","",IF(LEN(AG99)&gt;=2,VLOOKUP(LEFT(AG99,2),Voorblad!$X$67:$Y$98,2)&amp;IF(LEN(AG99)&gt;=4," / "&amp;VLOOKUP(RIGHT(LEFT(AG99,4),2),Voorblad!$X$67:$Y$98,2),""),""))</f>
        <v>Serbia / Slovakia</v>
      </c>
      <c r="AN99" s="1190"/>
      <c r="AO99" s="718" t="str">
        <f ca="1">IF(AI99="","",IF(LEN(AI99)&gt;=2,VLOOKUP(LEFT(AI99,2),Voorblad!$X$67:$Y$98,2)&amp;IF(LEN(AI99)&gt;=4," / "&amp;VLOOKUP(RIGHT(LEFT(AI99,4),2),Voorblad!$X$67:$Y$98,2),""),""))</f>
        <v>Netherlands</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A1</v>
      </c>
      <c r="AD102" s="1191"/>
      <c r="AE102" s="1191" t="str">
        <f ca="1">AG39</f>
        <v>D4</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D4</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A1&amp;&amp;B4D3E1B2F4C2C4D4F2A3B3D2D1F3E3A2C3E2C1B1A4F1E4????????????????????????????????????????????????????????????????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D4&amp;&amp;B4D3E1B2F4C2C4F2A1A3B3D2D1F3E3A2C3E2C1B1A4F1E4????????????????????????????????????????????????????????????????</v>
      </c>
      <c r="AM102" s="1192" t="str">
        <f ca="1">IF(AG102="","",IF(LEN(AG102)&gt;=2,VLOOKUP(LEFT(AG102,2),Voorblad!$X$67:$Y$98,2)&amp;IF(LEN(AG102)&gt;=4," / "&amp;VLOOKUP(RIGHT(LEFT(AG102,4),2),Voorblad!$X$67:$Y$98,2),""),""))</f>
        <v>Germany</v>
      </c>
      <c r="AN102" s="1192"/>
      <c r="AO102" s="717" t="str">
        <f ca="1">IF(AI102="","",IF(LEN(AI102)&gt;=2,VLOOKUP(LEFT(AI102,2),Voorblad!$X$67:$Y$98,2)&amp;IF(LEN(AI102)&gt;=4," / "&amp;VLOOKUP(RIGHT(LEFT(AI102,4),2),Voorblad!$X$67:$Y$98,2),""),""))</f>
        <v>France</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C3D2</v>
      </c>
      <c r="AD103" s="1195"/>
      <c r="AE103" s="1195" t="str">
        <f ca="1">AG41</f>
        <v>C4B3</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D2C3</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C4B3</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D2C3&amp;&amp;B4D3E1B2F4C2C4D4F2A1A3B3D1F3E3A2E2C1B1A4F1E4????????????????????????????????????????????????????????????????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C4B3&amp;&amp;B4D3E1B2F4C2D4F2A1A3D2D1F3E3A2C3E2C1B1A4F1E4????????????????????????????????????????????????????????????????</v>
      </c>
      <c r="AM103" s="1190" t="str">
        <f ca="1">IF(AG103="","",IF(LEN(AG103)&gt;=2,VLOOKUP(LEFT(AG103,2),Voorblad!$X$67:$Y$98,2)&amp;IF(LEN(AG103)&gt;=4," / "&amp;VLOOKUP(RIGHT(LEFT(AG103,4),2),Voorblad!$X$67:$Y$98,2),""),""))</f>
        <v>Netherlands / Serbia</v>
      </c>
      <c r="AN103" s="1190"/>
      <c r="AO103" s="718" t="str">
        <f ca="1">IF(AI103="","",IF(LEN(AI103)&gt;=2,VLOOKUP(LEFT(AI103,2),Voorblad!$X$67:$Y$98,2)&amp;IF(LEN(AI103)&gt;=4," / "&amp;VLOOKUP(RIGHT(LEFT(AI103,4),2),Voorblad!$X$67:$Y$98,2),""),""))</f>
        <v>England / Italy</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D4</v>
      </c>
      <c r="AD106" s="1191"/>
      <c r="AE106" s="1191" t="str">
        <f ca="1">AG50</f>
        <v>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D4</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D4&amp;&amp;B4D3E1B2F4C2C4F2A1A3B3D2D1F3E3A2C3E2C1B1A4F1E4????????????????????????????????????????????????????????????????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C4&amp;&amp;B4D3E1B2F4C2D4F2A1A3B3D2D1F3E3A2C3E2C1B1A4F1E4????????????????????????????????????????????????????????????????</v>
      </c>
      <c r="AM106" s="1192" t="str">
        <f ca="1">IF(AG106="","",IF(LEN(AG106)&gt;=2,VLOOKUP(LEFT(AG106,2),Voorblad!$X$67:$Y$98,2)&amp;IF(LEN(AG106)&gt;=4," / "&amp;VLOOKUP(RIGHT(LEFT(AG106,4),2),Voorblad!$X$67:$Y$98,2),""),""))</f>
        <v>France</v>
      </c>
      <c r="AN106" s="1192"/>
      <c r="AO106" s="717" t="str">
        <f ca="1">IF(AI106="","",IF(LEN(AI106)&gt;=2,VLOOKUP(LEFT(AI106,2),Voorblad!$X$67:$Y$98,2)&amp;IF(LEN(AI106)&gt;=4," / "&amp;VLOOKUP(RIGHT(LEFT(AI106,4),2),Voorblad!$X$67:$Y$98,2),""),""))</f>
        <v>England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Germany</v>
      </c>
      <c r="AR107" s="725" t="str">
        <f ca="1">RIGHT(LEFT($AK$112,$BA107),2)</f>
        <v>A1</v>
      </c>
      <c r="AS107" s="700" t="str">
        <f ca="1">IF(AT107=$AR$11,$AQ$11,IF(AT107=$AR$12,$AQ$12,VLOOKUP(AT107,Voorblad!$X$67:$Z$98,2,FALSE)))</f>
        <v>France</v>
      </c>
      <c r="AT107" s="701" t="str">
        <f ca="1">RIGHT(LEFT($AK$106,$BA107),2)</f>
        <v>D4</v>
      </c>
      <c r="AU107" s="700" t="str">
        <f ca="1">IF(AV107=$AR$11,$AQ$11,IF(AV107=$AR$12,$AQ$12,VLOOKUP(AV107,Voorblad!$X$67:$Z$98,2,FALSE)))</f>
        <v>England</v>
      </c>
      <c r="AV107" s="701" t="str">
        <f ca="1">RIGHT(LEFT($AL$106,$BA107),2)</f>
        <v>C4</v>
      </c>
      <c r="AW107" s="705" t="str">
        <f ca="1">IF(AX107=$AR$11,$AQ$11,IF(AX107=$AR$12,$AQ$12,VLOOKUP(AX107,Voorblad!$X$67:$Z$98,2,FALSE)))</f>
        <v>Germany</v>
      </c>
      <c r="AX107" s="706" t="str">
        <f ca="1">RIGHT(LEFT($AK$109,$BA107),2)</f>
        <v>A1</v>
      </c>
      <c r="AY107" s="705" t="str">
        <f ca="1">IF(AZ107=$AR$11,$AQ$11,IF(AZ107=$AR$12,$AQ$12,VLOOKUP(AZ107,Voorblad!$X$67:$Z$98,2,FALSE)))</f>
        <v>Netherlands</v>
      </c>
      <c r="AZ107" s="706" t="str">
        <f ca="1">RIGHT(LEFT($AL$109,$BA107),2)</f>
        <v>D2</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A1</v>
      </c>
      <c r="AD109" s="1191"/>
      <c r="AE109" s="1191" t="str">
        <f ca="1">AG49</f>
        <v>D2</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D2</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A1&amp;&amp;B4D3E1B2F4C2C4D4F2A3B3D2D1F3E3A2C3E2C1B1A4F1E4????????????????????????????????????????????????????????????????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D2&amp;&amp;B4D3E1B2F4C2C4D4F2A1A3B3D1F3E3A2C3E2C1B1A4F1E4????????????????????????????????????????????????????????????????</v>
      </c>
      <c r="AM109" s="1192" t="str">
        <f ca="1">IF(AG109="","",IF(LEN(AG109)&gt;=2,VLOOKUP(LEFT(AG109,2),Voorblad!$X$67:$Y$98,2)&amp;IF(LEN(AG109)&gt;=4," / "&amp;VLOOKUP(RIGHT(LEFT(AG109,4),2),Voorblad!$X$67:$Y$98,2),""),""))</f>
        <v>Germany</v>
      </c>
      <c r="AN109" s="1192"/>
      <c r="AO109" s="717" t="str">
        <f ca="1">IF(AI109="","",IF(LEN(AI109)&gt;=2,VLOOKUP(LEFT(AI109,2),Voorblad!$X$67:$Y$98,2)&amp;IF(LEN(AI109)&gt;=4," / "&amp;VLOOKUP(RIGHT(LEFT(AI109,4),2),Voorblad!$X$67:$Y$98,2),""),""))</f>
        <v>Netherlands</v>
      </c>
      <c r="AP109" s="266"/>
      <c r="AQ109" s="724" t="str">
        <f ca="1">IF(AR109=$AR$11,$AQ$11,IF(AR109=$AR$12,$AQ$12,VLOOKUP(AR109,Voorblad!$X$67:$Z$98,2,FALSE)))</f>
        <v>Albania</v>
      </c>
      <c r="AR109" s="725" t="str">
        <f t="shared" ca="1" si="31"/>
        <v>B4</v>
      </c>
      <c r="AS109" s="700" t="str">
        <f ca="1">IF(AT109=$AR$11,$AQ$11,IF(AT109=$AR$12,$AQ$12,VLOOKUP(AT109,Voorblad!$X$67:$Z$98,2,FALSE)))</f>
        <v>Albania</v>
      </c>
      <c r="AT109" s="701" t="str">
        <f t="shared" ca="1" si="32"/>
        <v>B4</v>
      </c>
      <c r="AU109" s="700" t="str">
        <f ca="1">IF(AV109=$AR$11,$AQ$11,IF(AV109=$AR$12,$AQ$12,VLOOKUP(AV109,Voorblad!$X$67:$Z$98,2,FALSE)))</f>
        <v>Albania</v>
      </c>
      <c r="AV109" s="701" t="str">
        <f t="shared" ca="1" si="33"/>
        <v>B4</v>
      </c>
      <c r="AW109" s="705" t="str">
        <f ca="1">IF(AX109=$AR$11,$AQ$11,IF(AX109=$AR$12,$AQ$12,VLOOKUP(AX109,Voorblad!$X$67:$Z$98,2,FALSE)))</f>
        <v>Albania</v>
      </c>
      <c r="AX109" s="706" t="str">
        <f t="shared" ca="1" si="34"/>
        <v>B4</v>
      </c>
      <c r="AY109" s="705" t="str">
        <f ca="1">IF(AZ109=$AR$11,$AQ$11,IF(AZ109=$AR$12,$AQ$12,VLOOKUP(AZ109,Voorblad!$X$67:$Z$98,2,FALSE)))</f>
        <v>Albania</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Austria</v>
      </c>
      <c r="AR110" s="725" t="str">
        <f t="shared" ca="1" si="31"/>
        <v>D3</v>
      </c>
      <c r="AS110" s="700" t="str">
        <f ca="1">IF(AT110=$AR$11,$AQ$11,IF(AT110=$AR$12,$AQ$12,VLOOKUP(AT110,Voorblad!$X$67:$Z$98,2,FALSE)))</f>
        <v>Austria</v>
      </c>
      <c r="AT110" s="701" t="str">
        <f t="shared" ca="1" si="32"/>
        <v>D3</v>
      </c>
      <c r="AU110" s="700" t="str">
        <f ca="1">IF(AV110=$AR$11,$AQ$11,IF(AV110=$AR$12,$AQ$12,VLOOKUP(AV110,Voorblad!$X$67:$Z$98,2,FALSE)))</f>
        <v>Austria</v>
      </c>
      <c r="AV110" s="701" t="str">
        <f t="shared" ca="1" si="33"/>
        <v>D3</v>
      </c>
      <c r="AW110" s="705" t="str">
        <f ca="1">IF(AX110=$AR$11,$AQ$11,IF(AX110=$AR$12,$AQ$12,VLOOKUP(AX110,Voorblad!$X$67:$Z$98,2,FALSE)))</f>
        <v>Austria</v>
      </c>
      <c r="AX110" s="706" t="str">
        <f t="shared" ca="1" si="34"/>
        <v>D3</v>
      </c>
      <c r="AY110" s="705" t="str">
        <f ca="1">IF(AZ110=$AR$11,$AQ$11,IF(AZ110=$AR$12,$AQ$12,VLOOKUP(AZ110,Voorblad!$X$67:$Z$98,2,FALSE)))</f>
        <v>Austria</v>
      </c>
      <c r="AZ110" s="706" t="str">
        <f t="shared" ca="1" si="35"/>
        <v>D3</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Belgium</v>
      </c>
      <c r="AR111" s="725" t="str">
        <f t="shared" ca="1" si="31"/>
        <v>E1</v>
      </c>
      <c r="AS111" s="700" t="str">
        <f ca="1">IF(AT111=$AR$11,$AQ$11,IF(AT111=$AR$12,$AQ$12,VLOOKUP(AT111,Voorblad!$X$67:$Z$98,2,FALSE)))</f>
        <v>Belgium</v>
      </c>
      <c r="AT111" s="701" t="str">
        <f t="shared" ca="1" si="32"/>
        <v>E1</v>
      </c>
      <c r="AU111" s="700" t="str">
        <f ca="1">IF(AV111=$AR$11,$AQ$11,IF(AV111=$AR$12,$AQ$12,VLOOKUP(AV111,Voorblad!$X$67:$Z$98,2,FALSE)))</f>
        <v>Belgium</v>
      </c>
      <c r="AV111" s="701" t="str">
        <f t="shared" ca="1" si="33"/>
        <v>E1</v>
      </c>
      <c r="AW111" s="705" t="str">
        <f ca="1">IF(AX111=$AR$11,$AQ$11,IF(AX111=$AR$12,$AQ$12,VLOOKUP(AX111,Voorblad!$X$67:$Z$98,2,FALSE)))</f>
        <v>Belgium</v>
      </c>
      <c r="AX111" s="706" t="str">
        <f t="shared" ca="1" si="34"/>
        <v>E1</v>
      </c>
      <c r="AY111" s="705" t="str">
        <f ca="1">IF(AZ111=$AR$11,$AQ$11,IF(AZ111=$AR$12,$AQ$12,VLOOKUP(AZ111,Voorblad!$X$67:$Z$98,2,FALSE)))</f>
        <v>Belgium</v>
      </c>
      <c r="AZ111" s="706" t="str">
        <f t="shared" ca="1" si="35"/>
        <v>E1</v>
      </c>
      <c r="BA111" s="708">
        <f t="shared" si="36"/>
        <v>10</v>
      </c>
    </row>
    <row r="112" spans="28:53" x14ac:dyDescent="0.25">
      <c r="AB112" s="717" t="s">
        <v>929</v>
      </c>
      <c r="AC112" s="1191" t="str">
        <f ca="1">AG57</f>
        <v>A1</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A1</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A1&amp;&amp;B4D3E1B2F4C2C4D4F2A3B3D2D1F3E3A2C3E2C1B1A4F1E4????????????????????????????????????????????????????????????????</v>
      </c>
      <c r="AL112" s="1191"/>
      <c r="AM112" s="1192" t="str">
        <f ca="1">IF(AG112="","",IF(LEN(AG112)&gt;=2,VLOOKUP(LEFT(AG112,2),Voorblad!$X$67:$Y$98,2)&amp;IF(LEN(AG112)&gt;=4," / "&amp;VLOOKUP(RIGHT(LEFT(AG112,4),2),Voorblad!$X$67:$Y$98,2),""),""))</f>
        <v>Germany</v>
      </c>
      <c r="AN112" s="1192"/>
      <c r="AO112" s="1192"/>
      <c r="AP112" s="266"/>
      <c r="AQ112" s="724" t="str">
        <f ca="1">IF(AR112=$AR$11,$AQ$11,IF(AR112=$AR$12,$AQ$12,VLOOKUP(AR112,Voorblad!$X$67:$Z$98,2,FALSE)))</f>
        <v>Croatia</v>
      </c>
      <c r="AR112" s="725" t="str">
        <f t="shared" ca="1" si="31"/>
        <v>B2</v>
      </c>
      <c r="AS112" s="700" t="str">
        <f ca="1">IF(AT112=$AR$11,$AQ$11,IF(AT112=$AR$12,$AQ$12,VLOOKUP(AT112,Voorblad!$X$67:$Z$98,2,FALSE)))</f>
        <v>Croatia</v>
      </c>
      <c r="AT112" s="701" t="str">
        <f t="shared" ca="1" si="32"/>
        <v>B2</v>
      </c>
      <c r="AU112" s="700" t="str">
        <f ca="1">IF(AV112=$AR$11,$AQ$11,IF(AV112=$AR$12,$AQ$12,VLOOKUP(AV112,Voorblad!$X$67:$Z$98,2,FALSE)))</f>
        <v>Croatia</v>
      </c>
      <c r="AV112" s="701" t="str">
        <f t="shared" ca="1" si="33"/>
        <v>B2</v>
      </c>
      <c r="AW112" s="705" t="str">
        <f ca="1">IF(AX112=$AR$11,$AQ$11,IF(AX112=$AR$12,$AQ$12,VLOOKUP(AX112,Voorblad!$X$67:$Z$98,2,FALSE)))</f>
        <v>Croatia</v>
      </c>
      <c r="AX112" s="706" t="str">
        <f t="shared" ca="1" si="34"/>
        <v>B2</v>
      </c>
      <c r="AY112" s="705" t="str">
        <f ca="1">IF(AZ112=$AR$11,$AQ$11,IF(AZ112=$AR$12,$AQ$12,VLOOKUP(AZ112,Voorblad!$X$67:$Z$98,2,FALSE)))</f>
        <v>Croatia</v>
      </c>
      <c r="AZ112" s="706" t="str">
        <f t="shared" ca="1" si="35"/>
        <v>B2</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Czech Republic</v>
      </c>
      <c r="AR113" s="725" t="str">
        <f t="shared" ca="1" si="31"/>
        <v>F4</v>
      </c>
      <c r="AS113" s="700" t="str">
        <f ca="1">IF(AT113=$AR$11,$AQ$11,IF(AT113=$AR$12,$AQ$12,VLOOKUP(AT113,Voorblad!$X$67:$Z$98,2,FALSE)))</f>
        <v>Czech Republic</v>
      </c>
      <c r="AT113" s="701" t="str">
        <f t="shared" ca="1" si="32"/>
        <v>F4</v>
      </c>
      <c r="AU113" s="700" t="str">
        <f ca="1">IF(AV113=$AR$11,$AQ$11,IF(AV113=$AR$12,$AQ$12,VLOOKUP(AV113,Voorblad!$X$67:$Z$98,2,FALSE)))</f>
        <v>Czech Republic</v>
      </c>
      <c r="AV113" s="701" t="str">
        <f t="shared" ca="1" si="33"/>
        <v>F4</v>
      </c>
      <c r="AW113" s="705" t="str">
        <f ca="1">IF(AX113=$AR$11,$AQ$11,IF(AX113=$AR$12,$AQ$12,VLOOKUP(AX113,Voorblad!$X$67:$Z$98,2,FALSE)))</f>
        <v>Czech Republic</v>
      </c>
      <c r="AX113" s="706" t="str">
        <f t="shared" ca="1" si="34"/>
        <v>F4</v>
      </c>
      <c r="AY113" s="705" t="str">
        <f ca="1">IF(AZ113=$AR$11,$AQ$11,IF(AZ113=$AR$12,$AQ$12,VLOOKUP(AZ113,Voorblad!$X$67:$Z$98,2,FALSE)))</f>
        <v>Czech Republic</v>
      </c>
      <c r="AZ113" s="706" t="str">
        <f t="shared" ca="1" si="35"/>
        <v>F4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Denmark</v>
      </c>
      <c r="AR114" s="725" t="str">
        <f t="shared" ca="1" si="31"/>
        <v>C2</v>
      </c>
      <c r="AS114" s="700" t="str">
        <f ca="1">IF(AT114=$AR$11,$AQ$11,IF(AT114=$AR$12,$AQ$12,VLOOKUP(AT114,Voorblad!$X$67:$Z$98,2,FALSE)))</f>
        <v>Denmark</v>
      </c>
      <c r="AT114" s="701" t="str">
        <f t="shared" ca="1" si="32"/>
        <v>C2</v>
      </c>
      <c r="AU114" s="700" t="str">
        <f ca="1">IF(AV114=$AR$11,$AQ$11,IF(AV114=$AR$12,$AQ$12,VLOOKUP(AV114,Voorblad!$X$67:$Z$98,2,FALSE)))</f>
        <v>Denmark</v>
      </c>
      <c r="AV114" s="701" t="str">
        <f t="shared" ca="1" si="33"/>
        <v>C2</v>
      </c>
      <c r="AW114" s="705" t="str">
        <f ca="1">IF(AX114=$AR$11,$AQ$11,IF(AX114=$AR$12,$AQ$12,VLOOKUP(AX114,Voorblad!$X$67:$Z$98,2,FALSE)))</f>
        <v>Denmark</v>
      </c>
      <c r="AX114" s="706" t="str">
        <f t="shared" ca="1" si="34"/>
        <v>C2</v>
      </c>
      <c r="AY114" s="705" t="str">
        <f ca="1">IF(AZ114=$AR$11,$AQ$11,IF(AZ114=$AR$12,$AQ$12,VLOOKUP(AZ114,Voorblad!$X$67:$Z$98,2,FALSE)))</f>
        <v>Denmark</v>
      </c>
      <c r="AZ114" s="706" t="str">
        <f t="shared" ca="1" si="35"/>
        <v>C2</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England</v>
      </c>
      <c r="AR115" s="725" t="str">
        <f t="shared" ca="1" si="31"/>
        <v>C4</v>
      </c>
      <c r="AS115" s="700" t="str">
        <f ca="1">IF(AT115=$AR$11,$AQ$11,IF(AT115=$AR$12,$AQ$12,VLOOKUP(AT115,Voorblad!$X$67:$Z$98,2,FALSE)))</f>
        <v>England</v>
      </c>
      <c r="AT115" s="701" t="str">
        <f t="shared" ca="1" si="32"/>
        <v>C4</v>
      </c>
      <c r="AU115" s="700" t="str">
        <f ca="1">IF(AV115=$AR$11,$AQ$11,IF(AV115=$AR$12,$AQ$12,VLOOKUP(AV115,Voorblad!$X$67:$Z$98,2,FALSE)))</f>
        <v>France</v>
      </c>
      <c r="AV115" s="701" t="str">
        <f t="shared" ca="1" si="33"/>
        <v>D4</v>
      </c>
      <c r="AW115" s="705" t="str">
        <f ca="1">IF(AX115=$AR$11,$AQ$11,IF(AX115=$AR$12,$AQ$12,VLOOKUP(AX115,Voorblad!$X$67:$Z$98,2,FALSE)))</f>
        <v>England</v>
      </c>
      <c r="AX115" s="706" t="str">
        <f t="shared" ca="1" si="34"/>
        <v>C4</v>
      </c>
      <c r="AY115" s="705" t="str">
        <f ca="1">IF(AZ115=$AR$11,$AQ$11,IF(AZ115=$AR$12,$AQ$12,VLOOKUP(AZ115,Voorblad!$X$67:$Z$98,2,FALSE)))</f>
        <v>England</v>
      </c>
      <c r="AZ115" s="706" t="str">
        <f t="shared" ca="1" si="35"/>
        <v>C4</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France</v>
      </c>
      <c r="AR116" s="725" t="str">
        <f t="shared" ca="1" si="31"/>
        <v>D4</v>
      </c>
      <c r="AS116" s="700" t="str">
        <f ca="1">IF(AT116=$AR$11,$AQ$11,IF(AT116=$AR$12,$AQ$12,VLOOKUP(AT116,Voorblad!$X$67:$Z$98,2,FALSE)))</f>
        <v>Georgia</v>
      </c>
      <c r="AT116" s="701" t="str">
        <f t="shared" ca="1" si="32"/>
        <v>F2</v>
      </c>
      <c r="AU116" s="700" t="str">
        <f ca="1">IF(AV116=$AR$11,$AQ$11,IF(AV116=$AR$12,$AQ$12,VLOOKUP(AV116,Voorblad!$X$67:$Z$98,2,FALSE)))</f>
        <v>Georgia</v>
      </c>
      <c r="AV116" s="701" t="str">
        <f t="shared" ca="1" si="33"/>
        <v>F2</v>
      </c>
      <c r="AW116" s="705" t="str">
        <f ca="1">IF(AX116=$AR$11,$AQ$11,IF(AX116=$AR$12,$AQ$12,VLOOKUP(AX116,Voorblad!$X$67:$Z$98,2,FALSE)))</f>
        <v>France</v>
      </c>
      <c r="AX116" s="706" t="str">
        <f t="shared" ca="1" si="34"/>
        <v>D4</v>
      </c>
      <c r="AY116" s="705" t="str">
        <f ca="1">IF(AZ116=$AR$11,$AQ$11,IF(AZ116=$AR$12,$AQ$12,VLOOKUP(AZ116,Voorblad!$X$67:$Z$98,2,FALSE)))</f>
        <v>France</v>
      </c>
      <c r="AZ116" s="706" t="str">
        <f t="shared" ca="1" si="35"/>
        <v>D4</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Georgia</v>
      </c>
      <c r="AR117" s="725" t="str">
        <f t="shared" ca="1" si="31"/>
        <v>F2</v>
      </c>
      <c r="AS117" s="700" t="str">
        <f ca="1">IF(AT117=$AR$11,$AQ$11,IF(AT117=$AR$12,$AQ$12,VLOOKUP(AT117,Voorblad!$X$67:$Z$98,2,FALSE)))</f>
        <v>Germany</v>
      </c>
      <c r="AT117" s="701" t="str">
        <f t="shared" ca="1" si="32"/>
        <v>A1</v>
      </c>
      <c r="AU117" s="700" t="str">
        <f ca="1">IF(AV117=$AR$11,$AQ$11,IF(AV117=$AR$12,$AQ$12,VLOOKUP(AV117,Voorblad!$X$67:$Z$98,2,FALSE)))</f>
        <v>Germany</v>
      </c>
      <c r="AV117" s="701" t="str">
        <f t="shared" ca="1" si="33"/>
        <v>A1</v>
      </c>
      <c r="AW117" s="705" t="str">
        <f ca="1">IF(AX117=$AR$11,$AQ$11,IF(AX117=$AR$12,$AQ$12,VLOOKUP(AX117,Voorblad!$X$67:$Z$98,2,FALSE)))</f>
        <v>Georgia</v>
      </c>
      <c r="AX117" s="706" t="str">
        <f t="shared" ca="1" si="34"/>
        <v>F2</v>
      </c>
      <c r="AY117" s="705" t="str">
        <f ca="1">IF(AZ117=$AR$11,$AQ$11,IF(AZ117=$AR$12,$AQ$12,VLOOKUP(AZ117,Voorblad!$X$67:$Z$98,2,FALSE)))</f>
        <v>Georgia</v>
      </c>
      <c r="AZ117" s="706" t="str">
        <f t="shared" ca="1" si="35"/>
        <v>F2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|HU|IT|DE|DK|GB|PL|ES|CH|FR|BE|PT|HR|SK|RS|NL|CZ|</v>
      </c>
      <c r="AH118" s="419"/>
      <c r="AI118" s="419"/>
      <c r="AJ118" s="419"/>
      <c r="AK118" s="419"/>
      <c r="AL118" s="419"/>
      <c r="AM118" s="419"/>
      <c r="AN118" s="419"/>
      <c r="AO118" s="419"/>
      <c r="AP118" s="419"/>
      <c r="AQ118" s="724" t="str">
        <f ca="1">IF(AR118=$AR$11,$AQ$11,IF(AR118=$AR$12,$AQ$12,VLOOKUP(AR118,Voorblad!$X$67:$Z$98,2,FALSE)))</f>
        <v>Hungary</v>
      </c>
      <c r="AR118" s="725" t="str">
        <f t="shared" ca="1" si="31"/>
        <v>A3</v>
      </c>
      <c r="AS118" s="700" t="str">
        <f ca="1">IF(AT118=$AR$11,$AQ$11,IF(AT118=$AR$12,$AQ$12,VLOOKUP(AT118,Voorblad!$X$67:$Z$98,2,FALSE)))</f>
        <v>Hungary</v>
      </c>
      <c r="AT118" s="701" t="str">
        <f t="shared" ca="1" si="32"/>
        <v>A3</v>
      </c>
      <c r="AU118" s="700" t="str">
        <f ca="1">IF(AV118=$AR$11,$AQ$11,IF(AV118=$AR$12,$AQ$12,VLOOKUP(AV118,Voorblad!$X$67:$Z$98,2,FALSE)))</f>
        <v>Hungary</v>
      </c>
      <c r="AV118" s="701" t="str">
        <f t="shared" ca="1" si="33"/>
        <v>A3</v>
      </c>
      <c r="AW118" s="705" t="str">
        <f ca="1">IF(AX118=$AR$11,$AQ$11,IF(AX118=$AR$12,$AQ$12,VLOOKUP(AX118,Voorblad!$X$67:$Z$98,2,FALSE)))</f>
        <v>Hungary</v>
      </c>
      <c r="AX118" s="706" t="str">
        <f t="shared" ca="1" si="34"/>
        <v>A3</v>
      </c>
      <c r="AY118" s="705" t="str">
        <f ca="1">IF(AZ118=$AR$11,$AQ$11,IF(AZ118=$AR$12,$AQ$12,VLOOKUP(AZ118,Voorblad!$X$67:$Z$98,2,FALSE)))</f>
        <v>Germany</v>
      </c>
      <c r="AZ118" s="706" t="str">
        <f t="shared" ca="1" si="35"/>
        <v>A1</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Italy</v>
      </c>
      <c r="AR119" s="725" t="str">
        <f t="shared" ca="1" si="31"/>
        <v>B3</v>
      </c>
      <c r="AS119" s="700" t="str">
        <f ca="1">IF(AT119=$AR$11,$AQ$11,IF(AT119=$AR$12,$AQ$12,VLOOKUP(AT119,Voorblad!$X$67:$Z$98,2,FALSE)))</f>
        <v>Italy</v>
      </c>
      <c r="AT119" s="701" t="str">
        <f t="shared" ca="1" si="32"/>
        <v>B3</v>
      </c>
      <c r="AU119" s="700" t="str">
        <f ca="1">IF(AV119=$AR$11,$AQ$11,IF(AV119=$AR$12,$AQ$12,VLOOKUP(AV119,Voorblad!$X$67:$Z$98,2,FALSE)))</f>
        <v>Italy</v>
      </c>
      <c r="AV119" s="701" t="str">
        <f t="shared" ca="1" si="33"/>
        <v>B3</v>
      </c>
      <c r="AW119" s="705" t="str">
        <f ca="1">IF(AX119=$AR$11,$AQ$11,IF(AX119=$AR$12,$AQ$12,VLOOKUP(AX119,Voorblad!$X$67:$Z$98,2,FALSE)))</f>
        <v>Italy</v>
      </c>
      <c r="AX119" s="706" t="str">
        <f t="shared" ca="1" si="34"/>
        <v>B3</v>
      </c>
      <c r="AY119" s="705" t="str">
        <f ca="1">IF(AZ119=$AR$11,$AQ$11,IF(AZ119=$AR$12,$AQ$12,VLOOKUP(AZ119,Voorblad!$X$67:$Z$98,2,FALSE)))</f>
        <v>Hungary</v>
      </c>
      <c r="AZ119" s="706" t="str">
        <f t="shared" ca="1" si="35"/>
        <v>A3</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Netherlands</v>
      </c>
      <c r="AR120" s="725" t="str">
        <f t="shared" ca="1" si="31"/>
        <v>D2</v>
      </c>
      <c r="AS120" s="700" t="str">
        <f ca="1">IF(AT120=$AR$11,$AQ$11,IF(AT120=$AR$12,$AQ$12,VLOOKUP(AT120,Voorblad!$X$67:$Z$98,2,FALSE)))</f>
        <v>Netherlands</v>
      </c>
      <c r="AT120" s="701" t="str">
        <f t="shared" ca="1" si="32"/>
        <v>D2</v>
      </c>
      <c r="AU120" s="700" t="str">
        <f ca="1">IF(AV120=$AR$11,$AQ$11,IF(AV120=$AR$12,$AQ$12,VLOOKUP(AV120,Voorblad!$X$67:$Z$98,2,FALSE)))</f>
        <v>Netherlands</v>
      </c>
      <c r="AV120" s="701" t="str">
        <f t="shared" ca="1" si="33"/>
        <v>D2</v>
      </c>
      <c r="AW120" s="705" t="str">
        <f ca="1">IF(AX120=$AR$11,$AQ$11,IF(AX120=$AR$12,$AQ$12,VLOOKUP(AX120,Voorblad!$X$67:$Z$98,2,FALSE)))</f>
        <v>Netherlands</v>
      </c>
      <c r="AX120" s="706" t="str">
        <f t="shared" ca="1" si="34"/>
        <v>D2</v>
      </c>
      <c r="AY120" s="705" t="str">
        <f ca="1">IF(AZ120=$AR$11,$AQ$11,IF(AZ120=$AR$12,$AQ$12,VLOOKUP(AZ120,Voorblad!$X$67:$Z$98,2,FALSE)))</f>
        <v>Italy</v>
      </c>
      <c r="AZ120" s="706" t="str">
        <f t="shared" ca="1" si="35"/>
        <v>B3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Poland</v>
      </c>
      <c r="AR121" s="725" t="str">
        <f t="shared" ca="1" si="31"/>
        <v>D1</v>
      </c>
      <c r="AS121" s="700" t="str">
        <f ca="1">IF(AT121=$AR$11,$AQ$11,IF(AT121=$AR$12,$AQ$12,VLOOKUP(AT121,Voorblad!$X$67:$Z$98,2,FALSE)))</f>
        <v>Poland</v>
      </c>
      <c r="AT121" s="701" t="str">
        <f t="shared" ca="1" si="32"/>
        <v>D1</v>
      </c>
      <c r="AU121" s="700" t="str">
        <f ca="1">IF(AV121=$AR$11,$AQ$11,IF(AV121=$AR$12,$AQ$12,VLOOKUP(AV121,Voorblad!$X$67:$Z$98,2,FALSE)))</f>
        <v>Poland</v>
      </c>
      <c r="AV121" s="701" t="str">
        <f t="shared" ca="1" si="33"/>
        <v>D1</v>
      </c>
      <c r="AW121" s="705" t="str">
        <f ca="1">IF(AX121=$AR$11,$AQ$11,IF(AX121=$AR$12,$AQ$12,VLOOKUP(AX121,Voorblad!$X$67:$Z$98,2,FALSE)))</f>
        <v>Poland</v>
      </c>
      <c r="AX121" s="706" t="str">
        <f t="shared" ca="1" si="34"/>
        <v>D1</v>
      </c>
      <c r="AY121" s="705" t="str">
        <f ca="1">IF(AZ121=$AR$11,$AQ$11,IF(AZ121=$AR$12,$AQ$12,VLOOKUP(AZ121,Voorblad!$X$67:$Z$98,2,FALSE)))</f>
        <v>Poland</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Romania</v>
      </c>
      <c r="AR123" s="725" t="str">
        <f t="shared" ca="1" si="31"/>
        <v>E3</v>
      </c>
      <c r="AS123" s="700" t="str">
        <f ca="1">IF(AT123=$AR$11,$AQ$11,IF(AT123=$AR$12,$AQ$12,VLOOKUP(AT123,Voorblad!$X$67:$Z$98,2,FALSE)))</f>
        <v>Romania</v>
      </c>
      <c r="AT123" s="701" t="str">
        <f t="shared" ca="1" si="32"/>
        <v>E3</v>
      </c>
      <c r="AU123" s="700" t="str">
        <f ca="1">IF(AV123=$AR$11,$AQ$11,IF(AV123=$AR$12,$AQ$12,VLOOKUP(AV123,Voorblad!$X$67:$Z$98,2,FALSE)))</f>
        <v>Romania</v>
      </c>
      <c r="AV123" s="701" t="str">
        <f t="shared" ca="1" si="33"/>
        <v>E3</v>
      </c>
      <c r="AW123" s="705" t="str">
        <f ca="1">IF(AX123=$AR$11,$AQ$11,IF(AX123=$AR$12,$AQ$12,VLOOKUP(AX123,Voorblad!$X$67:$Z$98,2,FALSE)))</f>
        <v>Romania</v>
      </c>
      <c r="AX123" s="706" t="str">
        <f t="shared" ca="1" si="34"/>
        <v>E3</v>
      </c>
      <c r="AY123" s="705" t="str">
        <f ca="1">IF(AZ123=$AR$11,$AQ$11,IF(AZ123=$AR$12,$AQ$12,VLOOKUP(AZ123,Voorblad!$X$67:$Z$98,2,FALSE)))</f>
        <v>Romania</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Scotland</v>
      </c>
      <c r="AR124" s="725" t="str">
        <f t="shared" ca="1" si="31"/>
        <v>A2</v>
      </c>
      <c r="AS124" s="700" t="str">
        <f ca="1">IF(AT124=$AR$11,$AQ$11,IF(AT124=$AR$12,$AQ$12,VLOOKUP(AT124,Voorblad!$X$67:$Z$98,2,FALSE)))</f>
        <v>Scotland</v>
      </c>
      <c r="AT124" s="701" t="str">
        <f t="shared" ca="1" si="32"/>
        <v>A2</v>
      </c>
      <c r="AU124" s="700" t="str">
        <f ca="1">IF(AV124=$AR$11,$AQ$11,IF(AV124=$AR$12,$AQ$12,VLOOKUP(AV124,Voorblad!$X$67:$Z$98,2,FALSE)))</f>
        <v>Scotland</v>
      </c>
      <c r="AV124" s="701" t="str">
        <f t="shared" ca="1" si="33"/>
        <v>A2</v>
      </c>
      <c r="AW124" s="705" t="str">
        <f ca="1">IF(AX124=$AR$11,$AQ$11,IF(AX124=$AR$12,$AQ$12,VLOOKUP(AX124,Voorblad!$X$67:$Z$98,2,FALSE)))</f>
        <v>Scotland</v>
      </c>
      <c r="AX124" s="706" t="str">
        <f t="shared" ca="1" si="34"/>
        <v>A2</v>
      </c>
      <c r="AY124" s="705" t="str">
        <f ca="1">IF(AZ124=$AR$11,$AQ$11,IF(AZ124=$AR$12,$AQ$12,VLOOKUP(AZ124,Voorblad!$X$67:$Z$98,2,FALSE)))</f>
        <v>Scotland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Serbia</v>
      </c>
      <c r="AR125" s="725" t="str">
        <f t="shared" ca="1" si="31"/>
        <v>C3</v>
      </c>
      <c r="AS125" s="700" t="str">
        <f ca="1">IF(AT125=$AR$11,$AQ$11,IF(AT125=$AR$12,$AQ$12,VLOOKUP(AT125,Voorblad!$X$67:$Z$98,2,FALSE)))</f>
        <v>Serbia</v>
      </c>
      <c r="AT125" s="701" t="str">
        <f t="shared" ca="1" si="32"/>
        <v>C3</v>
      </c>
      <c r="AU125" s="700" t="str">
        <f ca="1">IF(AV125=$AR$11,$AQ$11,IF(AV125=$AR$12,$AQ$12,VLOOKUP(AV125,Voorblad!$X$67:$Z$98,2,FALSE)))</f>
        <v>Serbia</v>
      </c>
      <c r="AV125" s="701" t="str">
        <f t="shared" ca="1" si="33"/>
        <v>C3</v>
      </c>
      <c r="AW125" s="705" t="str">
        <f ca="1">IF(AX125=$AR$11,$AQ$11,IF(AX125=$AR$12,$AQ$12,VLOOKUP(AX125,Voorblad!$X$67:$Z$98,2,FALSE)))</f>
        <v>Serbia</v>
      </c>
      <c r="AX125" s="706" t="str">
        <f t="shared" ca="1" si="34"/>
        <v>C3</v>
      </c>
      <c r="AY125" s="705" t="str">
        <f ca="1">IF(AZ125=$AR$11,$AQ$11,IF(AZ125=$AR$12,$AQ$12,VLOOKUP(AZ125,Voorblad!$X$67:$Z$98,2,FALSE)))</f>
        <v>Serbia</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Slovakia</v>
      </c>
      <c r="AR126" s="725" t="str">
        <f t="shared" ca="1" si="31"/>
        <v>E2</v>
      </c>
      <c r="AS126" s="700" t="str">
        <f ca="1">IF(AT126=$AR$11,$AQ$11,IF(AT126=$AR$12,$AQ$12,VLOOKUP(AT126,Voorblad!$X$67:$Z$98,2,FALSE)))</f>
        <v>Slovakia</v>
      </c>
      <c r="AT126" s="701" t="str">
        <f t="shared" ca="1" si="32"/>
        <v>E2</v>
      </c>
      <c r="AU126" s="700" t="str">
        <f ca="1">IF(AV126=$AR$11,$AQ$11,IF(AV126=$AR$12,$AQ$12,VLOOKUP(AV126,Voorblad!$X$67:$Z$98,2,FALSE)))</f>
        <v>Slovakia</v>
      </c>
      <c r="AV126" s="701" t="str">
        <f t="shared" ca="1" si="33"/>
        <v>E2</v>
      </c>
      <c r="AW126" s="705" t="str">
        <f ca="1">IF(AX126=$AR$11,$AQ$11,IF(AX126=$AR$12,$AQ$12,VLOOKUP(AX126,Voorblad!$X$67:$Z$98,2,FALSE)))</f>
        <v>Slovakia</v>
      </c>
      <c r="AX126" s="706" t="str">
        <f t="shared" ca="1" si="34"/>
        <v>E2</v>
      </c>
      <c r="AY126" s="705" t="str">
        <f ca="1">IF(AZ126=$AR$11,$AQ$11,IF(AZ126=$AR$12,$AQ$12,VLOOKUP(AZ126,Voorblad!$X$67:$Z$98,2,FALSE)))</f>
        <v>Slovakia</v>
      </c>
      <c r="AZ126" s="706" t="str">
        <f t="shared" ca="1" si="35"/>
        <v>E2</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Slovenia</v>
      </c>
      <c r="AR127" s="725" t="str">
        <f t="shared" ca="1" si="31"/>
        <v>C1</v>
      </c>
      <c r="AS127" s="700" t="str">
        <f ca="1">IF(AT127=$AR$11,$AQ$11,IF(AT127=$AR$12,$AQ$12,VLOOKUP(AT127,Voorblad!$X$67:$Z$98,2,FALSE)))</f>
        <v>Slovenia</v>
      </c>
      <c r="AT127" s="701" t="str">
        <f t="shared" ca="1" si="32"/>
        <v>C1</v>
      </c>
      <c r="AU127" s="700" t="str">
        <f ca="1">IF(AV127=$AR$11,$AQ$11,IF(AV127=$AR$12,$AQ$12,VLOOKUP(AV127,Voorblad!$X$67:$Z$98,2,FALSE)))</f>
        <v>Slovenia</v>
      </c>
      <c r="AV127" s="701" t="str">
        <f t="shared" ca="1" si="33"/>
        <v>C1</v>
      </c>
      <c r="AW127" s="705" t="str">
        <f ca="1">IF(AX127=$AR$11,$AQ$11,IF(AX127=$AR$12,$AQ$12,VLOOKUP(AX127,Voorblad!$X$67:$Z$98,2,FALSE)))</f>
        <v>Slovenia</v>
      </c>
      <c r="AX127" s="706" t="str">
        <f t="shared" ca="1" si="34"/>
        <v>C1</v>
      </c>
      <c r="AY127" s="705" t="str">
        <f ca="1">IF(AZ127=$AR$11,$AQ$11,IF(AZ127=$AR$12,$AQ$12,VLOOKUP(AZ127,Voorblad!$X$67:$Z$98,2,FALSE)))</f>
        <v>Slovenia</v>
      </c>
      <c r="AZ127" s="706" t="str">
        <f t="shared" ca="1" si="35"/>
        <v>C1</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Spain</v>
      </c>
      <c r="AR128" s="725" t="str">
        <f t="shared" ca="1" si="31"/>
        <v>B1</v>
      </c>
      <c r="AS128" s="700" t="str">
        <f ca="1">IF(AT128=$AR$11,$AQ$11,IF(AT128=$AR$12,$AQ$12,VLOOKUP(AT128,Voorblad!$X$67:$Z$98,2,FALSE)))</f>
        <v>Spain</v>
      </c>
      <c r="AT128" s="701" t="str">
        <f t="shared" ca="1" si="32"/>
        <v>B1</v>
      </c>
      <c r="AU128" s="700" t="str">
        <f ca="1">IF(AV128=$AR$11,$AQ$11,IF(AV128=$AR$12,$AQ$12,VLOOKUP(AV128,Voorblad!$X$67:$Z$98,2,FALSE)))</f>
        <v>Spain</v>
      </c>
      <c r="AV128" s="701" t="str">
        <f t="shared" ca="1" si="33"/>
        <v>B1</v>
      </c>
      <c r="AW128" s="705" t="str">
        <f ca="1">IF(AX128=$AR$11,$AQ$11,IF(AX128=$AR$12,$AQ$12,VLOOKUP(AX128,Voorblad!$X$67:$Z$98,2,FALSE)))</f>
        <v>Spain</v>
      </c>
      <c r="AX128" s="706" t="str">
        <f t="shared" ca="1" si="34"/>
        <v>B1</v>
      </c>
      <c r="AY128" s="705" t="str">
        <f ca="1">IF(AZ128=$AR$11,$AQ$11,IF(AZ128=$AR$12,$AQ$12,VLOOKUP(AZ128,Voorblad!$X$67:$Z$98,2,FALSE)))</f>
        <v>Spain</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Switzerland</v>
      </c>
      <c r="AR129" s="725" t="str">
        <f t="shared" ca="1" si="31"/>
        <v>A4</v>
      </c>
      <c r="AS129" s="700" t="str">
        <f ca="1">IF(AT129=$AR$11,$AQ$11,IF(AT129=$AR$12,$AQ$12,VLOOKUP(AT129,Voorblad!$X$67:$Z$98,2,FALSE)))</f>
        <v>Switzerland</v>
      </c>
      <c r="AT129" s="701" t="str">
        <f t="shared" ca="1" si="32"/>
        <v>A4</v>
      </c>
      <c r="AU129" s="700" t="str">
        <f ca="1">IF(AV129=$AR$11,$AQ$11,IF(AV129=$AR$12,$AQ$12,VLOOKUP(AV129,Voorblad!$X$67:$Z$98,2,FALSE)))</f>
        <v>Switzerland</v>
      </c>
      <c r="AV129" s="701" t="str">
        <f t="shared" ca="1" si="33"/>
        <v>A4</v>
      </c>
      <c r="AW129" s="705" t="str">
        <f ca="1">IF(AX129=$AR$11,$AQ$11,IF(AX129=$AR$12,$AQ$12,VLOOKUP(AX129,Voorblad!$X$67:$Z$98,2,FALSE)))</f>
        <v>Switzerland</v>
      </c>
      <c r="AX129" s="706" t="str">
        <f t="shared" ca="1" si="34"/>
        <v>A4</v>
      </c>
      <c r="AY129" s="705" t="str">
        <f ca="1">IF(AZ129=$AR$11,$AQ$11,IF(AZ129=$AR$12,$AQ$12,VLOOKUP(AZ129,Voorblad!$X$67:$Z$98,2,FALSE)))</f>
        <v>Switzerland</v>
      </c>
      <c r="AZ129" s="706" t="str">
        <f t="shared" ca="1" si="35"/>
        <v>A4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1</v>
      </c>
      <c r="AQ130" s="724" t="str">
        <f ca="1">IF(AR130=$AR$11,$AQ$11,IF(AR130=$AR$12,$AQ$12,VLOOKUP(AR130,Voorblad!$X$67:$Z$98,2,FALSE)))</f>
        <v>Turkey</v>
      </c>
      <c r="AR130" s="725" t="str">
        <f t="shared" ca="1" si="31"/>
        <v>F1</v>
      </c>
      <c r="AS130" s="700" t="str">
        <f ca="1">IF(AT130=$AR$11,$AQ$11,IF(AT130=$AR$12,$AQ$12,VLOOKUP(AT130,Voorblad!$X$67:$Z$98,2,FALSE)))</f>
        <v>Turkey</v>
      </c>
      <c r="AT130" s="701" t="str">
        <f t="shared" ca="1" si="32"/>
        <v>F1</v>
      </c>
      <c r="AU130" s="700" t="str">
        <f ca="1">IF(AV130=$AR$11,$AQ$11,IF(AV130=$AR$12,$AQ$12,VLOOKUP(AV130,Voorblad!$X$67:$Z$98,2,FALSE)))</f>
        <v>Turkey</v>
      </c>
      <c r="AV130" s="701" t="str">
        <f t="shared" ca="1" si="33"/>
        <v>F1</v>
      </c>
      <c r="AW130" s="705" t="str">
        <f ca="1">IF(AX130=$AR$11,$AQ$11,IF(AX130=$AR$12,$AQ$12,VLOOKUP(AX130,Voorblad!$X$67:$Z$98,2,FALSE)))</f>
        <v>Turkey</v>
      </c>
      <c r="AX130" s="706" t="str">
        <f t="shared" ca="1" si="34"/>
        <v>F1</v>
      </c>
      <c r="AY130" s="705" t="str">
        <f ca="1">IF(AZ130=$AR$11,$AQ$11,IF(AZ130=$AR$12,$AQ$12,VLOOKUP(AZ130,Voorblad!$X$67:$Z$98,2,FALSE)))</f>
        <v>Turkey</v>
      </c>
      <c r="AZ130" s="706" t="str">
        <f t="shared" ca="1" si="35"/>
        <v>F1</v>
      </c>
      <c r="BA130" s="708">
        <f t="shared" si="37"/>
        <v>48</v>
      </c>
    </row>
    <row r="131" spans="28:53" x14ac:dyDescent="0.25">
      <c r="AB131" s="419"/>
      <c r="AC131" s="494" t="s">
        <v>2450</v>
      </c>
      <c r="AD131" s="419"/>
      <c r="AE131" s="419" t="s">
        <v>69</v>
      </c>
      <c r="AF131" s="419" t="str">
        <f ca="1">IF($AL$20="GOED",$AF$20,$AL$20)</f>
        <v>CH</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Ukraine</v>
      </c>
      <c r="AR131" s="725" t="str">
        <f t="shared" ca="1" si="31"/>
        <v>E4</v>
      </c>
      <c r="AS131" s="700" t="str">
        <f ca="1">IF(AT131=$AR$11,$AQ$11,IF(AT131=$AR$12,$AQ$12,VLOOKUP(AT131,Voorblad!$X$67:$Z$98,2,FALSE)))</f>
        <v>Ukraine</v>
      </c>
      <c r="AT131" s="701" t="str">
        <f t="shared" ca="1" si="32"/>
        <v>E4</v>
      </c>
      <c r="AU131" s="700" t="str">
        <f ca="1">IF(AV131=$AR$11,$AQ$11,IF(AV131=$AR$12,$AQ$12,VLOOKUP(AV131,Voorblad!$X$67:$Z$98,2,FALSE)))</f>
        <v>Ukraine</v>
      </c>
      <c r="AV131" s="701" t="str">
        <f t="shared" ca="1" si="33"/>
        <v>E4</v>
      </c>
      <c r="AW131" s="705" t="str">
        <f ca="1">IF(AX131=$AR$11,$AQ$11,IF(AX131=$AR$12,$AQ$12,VLOOKUP(AX131,Voorblad!$X$67:$Z$98,2,FALSE)))</f>
        <v>Ukraine</v>
      </c>
      <c r="AX131" s="706" t="str">
        <f t="shared" ca="1" si="34"/>
        <v>E4</v>
      </c>
      <c r="AY131" s="705" t="str">
        <f ca="1">IF(AZ131=$AR$11,$AQ$11,IF(AZ131=$AR$12,$AQ$12,VLOOKUP(AZ131,Voorblad!$X$67:$Z$98,2,FALSE)))</f>
        <v>Ukraine</v>
      </c>
      <c r="AZ131" s="706" t="str">
        <f t="shared" ca="1" si="35"/>
        <v>E4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3</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RS</v>
      </c>
      <c r="AL133" s="748" t="s">
        <v>381</v>
      </c>
      <c r="AM133" s="494" t="str">
        <f ca="1">IF(OR(AF133="LEEG",AF133="FOUT",AF133="ONGELDIG",AK133="LEEG",AK133="FOUT",AK133="ONGELDIG"),"onvoldoende gegevens",IF(AF133=AK133,"JA","NEE"))</f>
        <v>JA</v>
      </c>
      <c r="AN133" s="748" t="s">
        <v>381</v>
      </c>
      <c r="AO133" s="497" t="str">
        <f ca="1">IF(AP130&gt;=AP131,"JA",IF(AP129&gt;0,"onvoldoende gegevens","NEE"))</f>
        <v>JA</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RS</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FR</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10</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NL</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11</v>
      </c>
      <c r="AS143" s="1237" t="s">
        <v>1908</v>
      </c>
      <c r="AT143" s="1237"/>
      <c r="AU143" s="1237"/>
      <c r="AV143" s="1237"/>
      <c r="AW143" s="1237"/>
      <c r="AX143" s="1237"/>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NL</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4</v>
      </c>
      <c r="AS144" s="265"/>
      <c r="AT144" s="72"/>
      <c r="AU144" s="1238">
        <f>LARGE(AB14:AB56,1)</f>
        <v>7</v>
      </c>
      <c r="AV144" s="1238"/>
      <c r="AW144" s="265"/>
      <c r="AX144" s="72"/>
      <c r="AY144" s="285" t="str">
        <f>Voorblad!Z69</f>
        <v>HU</v>
      </c>
      <c r="AZ144" s="285">
        <f t="shared" ca="1" si="40"/>
        <v>1</v>
      </c>
      <c r="BA144" s="285">
        <f t="shared" ca="1" si="41"/>
        <v>2</v>
      </c>
    </row>
    <row r="145" spans="26:53" x14ac:dyDescent="0.25">
      <c r="AB145" s="846" t="s">
        <v>1874</v>
      </c>
      <c r="AC145" s="494" t="str">
        <f>IF($AF$139="HUIDIG BLAD","wed. 28t","nr.1 grp E")</f>
        <v>nr.1 grp E</v>
      </c>
      <c r="AD145" s="419" t="s">
        <v>69</v>
      </c>
      <c r="AE145" s="419" t="str">
        <f ca="1">IF($AF$139="HUIDIG BLAD",IF($AK$28="GOED",$AD$28,$AK$28),IF('Eindstand Groep'!$Y$35="FOUT","FOUT",LEFT('Eindstand Groep'!$Y$35,2)))</f>
        <v>SK</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.HU.IT.DE.DK.GB.PL.ES.CH.FR.BE.PT.HR.SK.RS.NL.CZ.</v>
      </c>
      <c r="AS146" s="744"/>
      <c r="AT146" s="744"/>
      <c r="AU146" s="744"/>
      <c r="AV146" s="744"/>
      <c r="AW146" s="265"/>
      <c r="AX146" s="72"/>
      <c r="AY146" s="285" t="str">
        <f>Voorblad!Z71</f>
        <v>ES</v>
      </c>
      <c r="AZ146" s="285">
        <f t="shared" ca="1" si="40"/>
        <v>3</v>
      </c>
      <c r="BA146" s="285">
        <f t="shared" ca="1" si="41"/>
        <v>4</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.ES.DE.PT.FR.GB.IT.RS.NL.</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.DE.FR.NL.GB.</v>
      </c>
      <c r="AS148" s="744"/>
      <c r="AT148" s="744"/>
      <c r="AU148" s="744"/>
      <c r="AV148" s="744"/>
      <c r="AW148" s="265"/>
      <c r="AX148" s="72"/>
      <c r="AY148" s="285" t="str">
        <f>Voorblad!Z73</f>
        <v>IT</v>
      </c>
      <c r="AZ148" s="285">
        <f t="shared" ca="1" si="40"/>
        <v>4</v>
      </c>
      <c r="BA148" s="285">
        <f t="shared" ca="1" si="41"/>
        <v>3</v>
      </c>
    </row>
    <row r="149" spans="26:53" x14ac:dyDescent="0.25">
      <c r="AB149" s="419"/>
      <c r="AC149" s="494" t="s">
        <v>438</v>
      </c>
      <c r="AD149" s="419"/>
      <c r="AE149" s="419"/>
      <c r="AF149" s="419"/>
      <c r="AG149" s="758" t="s">
        <v>69</v>
      </c>
      <c r="AH149" s="494">
        <f ca="1">AR143</f>
        <v>11</v>
      </c>
      <c r="AI149" s="494"/>
      <c r="AJ149" s="494"/>
      <c r="AK149" s="494"/>
      <c r="AL149" s="748" t="s">
        <v>381</v>
      </c>
      <c r="AM149" s="494">
        <f ca="1">IF($AP$71="GOED",AH149,"onvoldoende gegevens")</f>
        <v>11</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4</v>
      </c>
      <c r="AI150" s="495"/>
      <c r="AJ150" s="495"/>
      <c r="AK150" s="495"/>
      <c r="AL150" s="754" t="s">
        <v>381</v>
      </c>
      <c r="AM150" s="496">
        <f ca="1">IF($AP$71="GOED",AH150,"onvoldoende gegevens")</f>
        <v>4</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.DE.NL.</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|DE|GB|ES|PT|NL|SK|YY|ZZ|</v>
      </c>
      <c r="AG152" s="419"/>
      <c r="AH152" s="419"/>
      <c r="AI152" s="419"/>
      <c r="AJ152" s="419"/>
      <c r="AK152" s="419"/>
      <c r="AL152" s="419"/>
      <c r="AM152" s="419"/>
      <c r="AN152" s="419"/>
      <c r="AO152" s="498" t="s">
        <v>461</v>
      </c>
      <c r="AP152" s="757">
        <f ca="1">COUNTIF(AM153:AM154,"JA")</f>
        <v>2</v>
      </c>
      <c r="AQ152" s="500" t="s">
        <v>389</v>
      </c>
      <c r="AR152" s="746" t="str">
        <f ca="1">"."&amp;IF(AP59=3,AF59&amp;".","")</f>
        <v>.DE.</v>
      </c>
      <c r="AS152" s="265"/>
      <c r="AT152" s="718"/>
      <c r="AU152" s="265"/>
      <c r="AV152" s="72"/>
      <c r="AW152" s="265"/>
      <c r="AX152" s="72"/>
      <c r="AY152" s="285" t="str">
        <f>Voorblad!Z77</f>
        <v>RS</v>
      </c>
      <c r="AZ152" s="285">
        <f t="shared" ca="1" si="40"/>
        <v>3</v>
      </c>
      <c r="BA152" s="285">
        <f t="shared" ca="1" si="41"/>
        <v>3</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7</v>
      </c>
      <c r="BA153" s="285">
        <f t="shared" ca="1" si="41"/>
        <v>8</v>
      </c>
    </row>
    <row r="154" spans="26:53" x14ac:dyDescent="0.25">
      <c r="AB154" s="419"/>
      <c r="AC154" s="494" t="s">
        <v>2447</v>
      </c>
      <c r="AD154" s="419"/>
      <c r="AE154" s="419" t="s">
        <v>69</v>
      </c>
      <c r="AF154" s="419" t="str">
        <f ca="1">IF($AL$56="GOED",$AF$56,$AL$56)</f>
        <v>NL</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2</v>
      </c>
      <c r="BA154" s="285">
        <f t="shared" ca="1" si="41"/>
        <v>2</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8</v>
      </c>
      <c r="BA155" s="285">
        <f t="shared" ca="1" si="41"/>
        <v>6</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JA</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6</v>
      </c>
      <c r="BA157" s="285">
        <f t="shared" ca="1" si="41"/>
        <v>3</v>
      </c>
    </row>
    <row r="158" spans="26:53" x14ac:dyDescent="0.25">
      <c r="AB158" s="419"/>
      <c r="AC158" s="494" t="s">
        <v>1059</v>
      </c>
      <c r="AD158" s="419"/>
      <c r="AE158" s="419" t="s">
        <v>69</v>
      </c>
      <c r="AF158" s="419" t="str">
        <f ca="1">IF($AL$59="GOED",$AF$59,$AL$59)</f>
        <v>DE</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0</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JA</v>
      </c>
      <c r="AS159" s="265"/>
      <c r="AT159" s="72"/>
      <c r="AU159" s="265"/>
      <c r="AV159" s="718"/>
      <c r="AW159" s="746"/>
      <c r="AX159" s="72"/>
      <c r="AY159" s="285" t="str">
        <f>Voorblad!Z84</f>
        <v>SK</v>
      </c>
      <c r="AZ159" s="285">
        <f t="shared" ca="1" si="40"/>
        <v>2</v>
      </c>
      <c r="BA159" s="285">
        <f t="shared" ca="1" si="41"/>
        <v>2</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DE</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NL</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THIS WORKSHEET IS NOT APPLICABLE. THE ORGANIZER HAS CHOSEN NOT TO USE THE TEAMS FUNCTION.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Participation Form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The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To give an extra dimension to the pool and the tournament, the organizer has enabled the pool's teams function. With this function you can compete in groups/teams for the honor whereby the average score per team is calculated every match day.</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YES</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NO</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select team:</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select team:</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select team:</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select team:</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select team:</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select team:</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select team:</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select team:</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select team:</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select team:</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select team:</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select team:</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select team:</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select team:</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select team:</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select team:</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select team:</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select team:</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select team:</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select team:</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Participation Code</v>
      </c>
      <c r="U2" s="1033"/>
      <c r="V2" s="1033"/>
      <c r="W2" s="1033"/>
      <c r="X2" s="1033"/>
    </row>
    <row r="3" spans="1:24" ht="15" customHeight="1" x14ac:dyDescent="0.25">
      <c r="B3" s="17"/>
      <c r="C3" s="974"/>
      <c r="D3" s="1289" t="str">
        <f ca="1">Taal04!$B$159</f>
        <v>The Participation 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Checking the Form's Input Fields</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The Participation 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the field below, your participation code will be generated if all fields are filled in completely and correctly.</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21|11|20|20|11|02|13|11|23|02|20|20|30|31|22|22|30|11|21|21|22|00|12|21|13|02|02|11|21|11|20|22|20|23|12|20|DE.HU.CH.SC|ES.IT.HR.AL|GB.DK.RS.SI|NL.FR.PL.AT|SK.BE.UA.RO|PT.CZ.TR.GE|HUIT12|DEDK31|GBPL22|ESCH21|FRBE30|PTHR21|SKRS22|NLCZ20|ESDE13|PTFR12|GBIT22|RSNL11|DEFR21|NLGB43|DENL21|DE||Antonio#*Mitja#*(VVJ)21||ariadnamitja@gmail.com22]</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|Antonio#*Mitja#*(VVJ)21</v>
      </c>
      <c r="U62" s="303"/>
      <c r="V62" s="303"/>
      <c r="W62" s="303"/>
      <c r="X62" s="303"/>
      <c r="Y62" s="303"/>
      <c r="Z62" s="306">
        <f>B63</f>
        <v>10</v>
      </c>
      <c r="AA62" s="303"/>
      <c r="AB62" s="303"/>
      <c r="AC62" s="305" t="s">
        <v>487</v>
      </c>
      <c r="AD62" s="303" t="str">
        <f>IF($N$53="G1e",Groepswedstrijden!AA88,IF($N$53="G2e",#REF!,0))</f>
        <v>|ariadnamitja@gmail.com22</v>
      </c>
      <c r="AE62" s="303"/>
      <c r="AF62" s="303"/>
      <c r="AG62" s="303"/>
      <c r="AH62" s="303"/>
    </row>
    <row r="63" spans="2:34" hidden="1" x14ac:dyDescent="0.25">
      <c r="B63" s="1263">
        <v>10</v>
      </c>
      <c r="C63" s="1263"/>
      <c r="D63" s="302" t="str">
        <f ca="1">Taal04!$B$162&amp;":"</f>
        <v>Name Participant:</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Generating the name code is not possible due to the lack of your e-mail address. Enter your e-mail</v>
      </c>
      <c r="E64" s="303"/>
      <c r="F64" s="303"/>
      <c r="G64" s="303"/>
      <c r="H64" s="303"/>
      <c r="I64" s="303"/>
      <c r="J64" s="303"/>
      <c r="K64" s="303"/>
      <c r="L64" s="303"/>
      <c r="M64" s="303"/>
      <c r="N64" s="303"/>
      <c r="O64" s="72"/>
      <c r="P64" s="303"/>
      <c r="Q64" s="303"/>
      <c r="R64" s="303"/>
      <c r="S64" s="305" t="s">
        <v>332</v>
      </c>
      <c r="T64" s="76" t="str">
        <f>IF(CODE(RIGHT(T62,1))=35,LEFT(RIGHT(T62,2),1),RIGHT(T62,2))</f>
        <v>21</v>
      </c>
      <c r="U64" s="303"/>
      <c r="V64" s="303"/>
      <c r="W64" s="303"/>
      <c r="X64" s="303"/>
      <c r="Y64" s="303"/>
      <c r="Z64" s="303" t="str">
        <f>IF(Z63-FLOOR(Z63,1)&gt;0,Z63+0.1,"")</f>
        <v/>
      </c>
      <c r="AA64" s="303"/>
      <c r="AB64" s="303"/>
      <c r="AC64" s="305" t="s">
        <v>488</v>
      </c>
      <c r="AD64" s="76" t="str">
        <f>IF(CODE(RIGHT(AD62,1))=35,LEFT(RIGHT(AD62,2),1),RIGHT(AD62,2))</f>
        <v>22</v>
      </c>
      <c r="AE64" s="303"/>
      <c r="AF64" s="303"/>
      <c r="AG64" s="303"/>
      <c r="AH64" s="303"/>
    </row>
    <row r="65" spans="2:34" hidden="1" x14ac:dyDescent="0.25">
      <c r="B65" s="1264">
        <v>11.2</v>
      </c>
      <c r="C65" s="1264"/>
      <c r="D65" s="779" t="str">
        <f ca="1">IF(AND($AD$68="JA",$AD$69="JA"),IF(AND($AF$68="LEEG",$AF$69="LEEG"),AB77,IF($AF$68="LEEG",AB73,AB75)),AB73)</f>
        <v>address at the top of the "Group competitions" worksheet.</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24 = goed / 0 = leeg</v>
      </c>
      <c r="V65" s="303"/>
      <c r="W65" s="303"/>
      <c r="X65" s="303"/>
      <c r="Y65" s="303"/>
      <c r="Z65" s="303"/>
      <c r="AA65" s="303"/>
      <c r="AB65" s="303"/>
      <c r="AC65" s="305" t="s">
        <v>333</v>
      </c>
      <c r="AD65" s="76" t="str">
        <f>IF(AD64*1=0,"LEEG",IF(AD64*1&gt;64,"LANG",IF(LEN(AD62)=AD64*1+3,"GOED","FOUT")))</f>
        <v>GOED</v>
      </c>
      <c r="AE65" s="324" t="str">
        <f>AD64+3&amp;" = goed / 0 = leeg"</f>
        <v>25 = goed / 0 = leeg</v>
      </c>
      <c r="AF65" s="303"/>
      <c r="AG65" s="303"/>
      <c r="AH65" s="303"/>
    </row>
    <row r="66" spans="2:34" hidden="1" x14ac:dyDescent="0.25">
      <c r="B66" s="1264">
        <v>12.1</v>
      </c>
      <c r="C66" s="1264"/>
      <c r="D66" s="779" t="str">
        <f ca="1">IF(AND($AF$68="FOUT",$AF$69="FOUT"),AB84,IF($AF$68="FOUT",AB80,AB82))</f>
        <v>An error was detected when generating the name code. Check your e-mail address at the top of</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the "Group Matches" worksheet.</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The name code including e-mail address is generated without any errors.</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|21|11|20|20|11|02|13|11|23|02|20|20|30|31|22|22|30|11|21|21|22|00|12|21|13|02|02|11|21|11|20|22|20|23|12|20|</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Predictions Group Matches:</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It is not possible to generate the participation code for the group matches due to the lack of data.</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Check that all fields are filled in on the "Group Matches" worksheet.</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Generating the name code is not possible due to the lack of your name. Enter your name at the top of</v>
      </c>
      <c r="AC72" s="303"/>
      <c r="AD72" s="303"/>
      <c r="AE72" s="303"/>
      <c r="AF72" s="303"/>
      <c r="AG72" s="303"/>
      <c r="AH72" s="303"/>
    </row>
    <row r="73" spans="2:34" hidden="1" x14ac:dyDescent="0.25">
      <c r="B73" s="1267">
        <v>22.1</v>
      </c>
      <c r="C73" s="1267"/>
      <c r="D73" s="303" t="str">
        <f ca="1">Taal04!$B$181</f>
        <v>An error was detected when generating the participation code for the group matches. Check your</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the "Group Matches" worksheet.</v>
      </c>
      <c r="AC73" s="303"/>
      <c r="AD73" s="303"/>
      <c r="AE73" s="303"/>
      <c r="AF73" s="303"/>
      <c r="AG73" s="303"/>
      <c r="AH73" s="303"/>
    </row>
    <row r="74" spans="2:34" hidden="1" x14ac:dyDescent="0.25">
      <c r="B74" s="1267">
        <v>22.2</v>
      </c>
      <c r="C74" s="1267"/>
      <c r="D74" s="303" t="str">
        <f ca="1">Taal04!$B$182</f>
        <v>entry on the "Group Matches" worksheet.</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Generating the name code is not possible due to the lack of your e-mail address. Enter your e-mail</v>
      </c>
      <c r="AC74" s="303"/>
      <c r="AD74" s="303"/>
      <c r="AE74" s="303"/>
      <c r="AF74" s="303"/>
      <c r="AG74" s="303"/>
      <c r="AH74" s="303"/>
    </row>
    <row r="75" spans="2:34" hidden="1" x14ac:dyDescent="0.25">
      <c r="B75" s="1267">
        <v>22.5</v>
      </c>
      <c r="C75" s="1267"/>
      <c r="D75" s="303" t="str">
        <f ca="1">Taal04!$B$183</f>
        <v>Errors were found when generating the participation code for the group matches. Check your entry</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address at the top of the "Group competitions" worksheet.</v>
      </c>
      <c r="AC75" s="303"/>
      <c r="AD75" s="303"/>
      <c r="AE75" s="303"/>
      <c r="AF75" s="303"/>
      <c r="AG75" s="303"/>
      <c r="AH75" s="303"/>
    </row>
    <row r="76" spans="2:34" hidden="1" x14ac:dyDescent="0.25">
      <c r="B76" s="1267">
        <v>22.6</v>
      </c>
      <c r="C76" s="1267"/>
      <c r="D76" s="303" t="str">
        <f ca="1">Taal04!$B$184</f>
        <v>on the "Group Matches" worksheet.</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Generating the name code including e-mail address is not possible due to the lack of data. Enter</v>
      </c>
      <c r="AC76" s="303"/>
      <c r="AD76" s="303"/>
      <c r="AE76" s="303"/>
      <c r="AF76" s="303"/>
      <c r="AG76" s="303"/>
      <c r="AH76" s="303"/>
    </row>
    <row r="77" spans="2:34" hidden="1" x14ac:dyDescent="0.25">
      <c r="B77" s="1267">
        <v>23</v>
      </c>
      <c r="C77" s="1267"/>
      <c r="D77" s="303" t="str">
        <f ca="1">Taal04!$B$185</f>
        <v>The participation code for the group matches is generated without errors.</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your name and e-mail address at the top of the "Group Matches" worksheet.</v>
      </c>
      <c r="AC77" s="303"/>
      <c r="AD77" s="303"/>
      <c r="AE77" s="303"/>
      <c r="AF77" s="303"/>
      <c r="AG77" s="303"/>
      <c r="AH77" s="303"/>
    </row>
    <row r="78" spans="2:34" hidden="1" x14ac:dyDescent="0.25">
      <c r="B78" s="1263">
        <v>25</v>
      </c>
      <c r="C78" s="1263"/>
      <c r="D78" s="302" t="str">
        <f ca="1">Taal04!$B$187&amp;":"</f>
        <v>Predictions Final Ranking Group Stage:</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It is not possible to generate the participation code for the final ranking in the group due to the lack</v>
      </c>
      <c r="E79" s="303"/>
      <c r="F79" s="303"/>
      <c r="G79" s="303"/>
      <c r="H79" s="303"/>
      <c r="I79" s="303"/>
      <c r="J79" s="303"/>
      <c r="K79" s="303"/>
      <c r="L79" s="303"/>
      <c r="M79" s="303"/>
      <c r="N79" s="303"/>
      <c r="O79" s="1278"/>
      <c r="P79" s="303"/>
      <c r="Q79" s="303"/>
      <c r="R79" s="303"/>
      <c r="S79" s="305" t="s">
        <v>346</v>
      </c>
      <c r="T79" s="311" t="str">
        <f ca="1">IF($N$54="E1e",'Eindstand Groep'!X57,0)</f>
        <v>DE.HU.CH.SC|ES.IT.HR.AL|GB.DK.RS.SI|NL.FR.PL.AT|SK.BE.UA.RO|PT.CZ.TR.GE|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of data. Check whether all fields are filled in on the "Final Ranking Group" worksheet.</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An error was detected when generating the name code. Check your name at the top of the</v>
      </c>
      <c r="AC80" s="303"/>
      <c r="AD80" s="303"/>
      <c r="AE80" s="303"/>
      <c r="AF80" s="303"/>
      <c r="AG80" s="303"/>
      <c r="AH80" s="303"/>
    </row>
    <row r="81" spans="2:34" hidden="1" x14ac:dyDescent="0.25">
      <c r="B81" s="1267">
        <v>27.1</v>
      </c>
      <c r="C81" s="1267"/>
      <c r="D81" s="303" t="str">
        <f ca="1">Taal04!$B$190</f>
        <v>An error was detected when generating the participation code for the final ranking in the group.</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"Group Matches" worksheet.</v>
      </c>
      <c r="AC81" s="303"/>
      <c r="AD81" s="303"/>
      <c r="AE81" s="303"/>
      <c r="AF81" s="303"/>
      <c r="AG81" s="303"/>
      <c r="AH81" s="303"/>
    </row>
    <row r="82" spans="2:34" hidden="1" x14ac:dyDescent="0.25">
      <c r="B82" s="1267">
        <v>27.2</v>
      </c>
      <c r="C82" s="1267"/>
      <c r="D82" s="303" t="str">
        <f ca="1">Taal04!$B$191</f>
        <v>Check your entry on the "Final Ranking Group" worksheet.</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An error was detected when generating the name code. Check your e-mail address at the top of</v>
      </c>
      <c r="AC82" s="303"/>
      <c r="AD82" s="303"/>
      <c r="AE82" s="303"/>
      <c r="AF82" s="303"/>
      <c r="AG82" s="303"/>
      <c r="AH82" s="303"/>
    </row>
    <row r="83" spans="2:34" hidden="1" x14ac:dyDescent="0.25">
      <c r="B83" s="1267">
        <v>27.5</v>
      </c>
      <c r="C83" s="1267"/>
      <c r="D83" s="303" t="str">
        <f ca="1">Taal04!$B$192</f>
        <v>Errors were found when generating the participation code for the final ranking in the group. Check</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the "Group Matches" worksheet.</v>
      </c>
      <c r="AC83" s="303"/>
      <c r="AD83" s="303"/>
      <c r="AE83" s="303"/>
      <c r="AF83" s="303"/>
      <c r="AG83" s="303"/>
      <c r="AH83" s="303"/>
    </row>
    <row r="84" spans="2:34" hidden="1" x14ac:dyDescent="0.25">
      <c r="B84" s="1267">
        <v>27.6</v>
      </c>
      <c r="C84" s="1267"/>
      <c r="D84" s="303" t="str">
        <f ca="1">Taal04!$B$193</f>
        <v>your entry on the "Final Ranking Group" worksheet.</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An error was detected when generating the name code with e-mail address. Check your name</v>
      </c>
      <c r="AC84" s="303"/>
      <c r="AD84" s="303"/>
      <c r="AE84" s="303"/>
      <c r="AF84" s="303"/>
      <c r="AG84" s="303"/>
      <c r="AH84" s="303"/>
    </row>
    <row r="85" spans="2:34" hidden="1" x14ac:dyDescent="0.25">
      <c r="B85" s="1267">
        <v>28</v>
      </c>
      <c r="C85" s="1267"/>
      <c r="D85" s="303" t="str">
        <f ca="1">Taal04!$B$194</f>
        <v>The participation code for the final ranking in the group is generated without errors.</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and e-mail address at the top of the "Group Matches" worksheet.</v>
      </c>
      <c r="AC85" s="303"/>
      <c r="AD85" s="303"/>
      <c r="AE85" s="303"/>
      <c r="AF85" s="303"/>
      <c r="AG85" s="303"/>
      <c r="AH85" s="303"/>
    </row>
    <row r="86" spans="2:34" hidden="1" x14ac:dyDescent="0.25">
      <c r="B86" s="1263">
        <v>30</v>
      </c>
      <c r="C86" s="1263"/>
      <c r="D86" s="302" t="str">
        <f ca="1">Taal04!$B$196&amp;":"</f>
        <v>Predictions Final matches:</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It is not possible to generate the participation code for the final matches due to the lack of data.</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Check that all fields are filled in on the "Final Matches" worksheet.</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The name code is generated without any errors.</v>
      </c>
      <c r="AC88" s="303"/>
      <c r="AD88" s="303"/>
      <c r="AE88" s="303"/>
      <c r="AF88" s="303"/>
      <c r="AG88" s="303"/>
      <c r="AH88" s="303"/>
    </row>
    <row r="89" spans="2:34" hidden="1" x14ac:dyDescent="0.25">
      <c r="B89" s="1267">
        <v>32.1</v>
      </c>
      <c r="C89" s="1267"/>
      <c r="D89" s="303" t="str">
        <f ca="1">Taal04!$B$199</f>
        <v>An error was detected when generating the participation code for the final matches. Check your entry</v>
      </c>
      <c r="E89" s="303"/>
      <c r="F89" s="303"/>
      <c r="G89" s="303"/>
      <c r="H89" s="303"/>
      <c r="I89" s="303"/>
      <c r="J89" s="303"/>
      <c r="K89" s="303"/>
      <c r="L89" s="303"/>
      <c r="M89" s="303"/>
      <c r="N89" s="303"/>
      <c r="O89" s="1278"/>
      <c r="P89" s="303"/>
      <c r="Q89" s="303"/>
      <c r="R89" s="303"/>
      <c r="S89" s="305" t="s">
        <v>352</v>
      </c>
      <c r="T89" s="303" t="str">
        <f ca="1">IF($N$55="F1e",Finalewedstrijden!AN71,IF($N$55="F2e",#REF!,IF($N$55="F3e",#REF!,0)))</f>
        <v>HUIT12|DEDK31|GBPL22|ESCH21|FRBE30|PTHR21|SKRS22|NLCZ20|ESDE13|PTFR12|GBIT22|RSNL11|DEFR21|NLGB43|DENL21|</v>
      </c>
      <c r="U89" s="303"/>
      <c r="V89" s="303"/>
      <c r="W89" s="303"/>
      <c r="X89" s="303"/>
      <c r="Y89" s="303"/>
      <c r="Z89" s="306">
        <v>30</v>
      </c>
      <c r="AA89" s="72"/>
      <c r="AB89" s="517" t="str">
        <f ca="1">Taal04!$B$176</f>
        <v>The name code including e-mail address is generated without any errors.</v>
      </c>
      <c r="AC89" s="303"/>
      <c r="AD89" s="303"/>
      <c r="AE89" s="303"/>
      <c r="AF89" s="303"/>
      <c r="AG89" s="303"/>
      <c r="AH89" s="303"/>
    </row>
    <row r="90" spans="2:34" hidden="1" x14ac:dyDescent="0.25">
      <c r="B90" s="1267">
        <v>32.200000000000003</v>
      </c>
      <c r="C90" s="1267"/>
      <c r="D90" s="303" t="str">
        <f ca="1">Taal04!$B$200</f>
        <v>on the "Final Matches" worksheet.</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Errors were found when generating the participation code for the final matches. Check your entry on</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the "Final Matches" worksheet.</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The participation code for the final matches is generated without errors.</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Prediction Winner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It is not possible to generate the participation code for the winner of the European Championship due</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to the lack of data. Predict the winner of the European Championship on the worksheet "Final Matches".</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An error was detected when generating the participation code for the winner of the European</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Championship. Check your entry on the "Final Matches" worksheet.</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The participation code for the winner of the European Championship is generated without errors.</v>
      </c>
      <c r="E99" s="303"/>
      <c r="F99" s="303"/>
      <c r="G99" s="303"/>
      <c r="H99" s="303"/>
      <c r="I99" s="303"/>
      <c r="J99" s="303"/>
      <c r="K99" s="303"/>
      <c r="L99" s="303"/>
      <c r="M99" s="303"/>
      <c r="N99" s="303"/>
      <c r="O99" s="72"/>
      <c r="P99" s="303"/>
      <c r="Q99" s="303"/>
      <c r="R99" s="303"/>
      <c r="S99" s="305" t="s">
        <v>355</v>
      </c>
      <c r="T99" s="76" t="str">
        <f ca="1">IF($N$55="F1e",Finalewedstrijden!AO59,IF($N$55="F2e",#REF!,IF($N$55="F3e",#REF!,0)))</f>
        <v>DE|</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 questions:</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It is not possible to generate the participation code for the bonus questions due to the lack of data.</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Check if all fields are filled in on the "Bonus Questions" worksheet.</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An error was detected when generating the participation code for the bonus questions. Check your</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entry on the "Bonus Questions" worksheet.</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Errors were found when generating the participation code for the bonus questions. Check your entry</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on the "Bonus Questions" worksheet.</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The participation code for the bonus questions is generated without errors.</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Not enough teams have been selected to generate an participation code.</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Too many teams have been selected to generate an participation code.</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Check the number of selected teams on the "Teams" worksheet.</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An error was detected while generating the participation code for the teams.</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Check your selection of teams on the "Teams" worksheet.</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Sufficient teams have been selected to generate an participation code.</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Name Participant</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Predictions Group Matches</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Predictions Final Ranking Group Stage</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Predictions Final matches</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Prediction Winner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 questions</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The entry code cannot be generated due to lack of data or incorrect values. It involves the following input field</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This participation form concerns a demo version for the EURO 2024 in Germany. The participation code is disabled here regardless of whether all components have been entered correctly.</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The participation code cannot be generated due to the absence of the rules. Ask your organizer to add the rules to your participation form.</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21|11|20|20|11|02|13|11|23|02|20|20|30|31|22|22|30|11|21|21|22|00|12|21|13|02|02|11|21|11|20|22|20|23|12|20|DE.HU.CH.SC|ES.IT.HR.AL|GB.DK.RS.SI|NL.FR.PL.AT|SK.BE.UA.RO|PT.CZ.TR.GE|HUIT12|DEDK31|GBPL22|ESCH21|FRBE30|PTHR21|SKRS22|NLCZ20|ESDE13|PTFR12|GBIT22|RSNL11|DEFR21|NLGB43|DENL21|DE||Antonio#*Mitja#*(VVJ)21||ariadnamitja@gmail.com22]</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21|11|20|20|11|02|13|11|23|02|20|20|30|31|22|22|30|11|21|21|22|00|12|21|13|02|02|11|21|11|20|22|20|23|12|20|DE.HU.CH.SC|ES.IT.HR.AL|GB.DK.RS.SI|NL.FR.PL.AT|SK.BE.UA.RO|PT.CZ.TR.GE|HUIT12|DEDK31|GBPL22|ESCH21|FRBE30|PTHR21|SKRS22|NLCZ20|ESDE13|PTFR12|GBIT22|RSNL11|DEFR21|NLGB43|DENL21|DE||Antonio#*Mitja#*(VVJ)21||ariadnamitja@gmail.com22]</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21|11|20|20|11|02|13|11|23|02|20|20|30|31|22|22|30|11|21|21|22|00|12|21|13|02|02|11|21|11|20|22|20|23|12|20|DE.HU.CH.SC|ES.IT.HR.AL|GB.DK.RS.SI|NL.FR.PL.AT|SK.BE.UA.RO|PT.CZ.TR.GE|HUIT12|DEDK31|GBPL22|ESCH21|FRBE30|PTHR21|SKRS22|NLCZ20|ESDE13|PTFR12|GBIT22|RSNL11|DEFR21|NLGB43|DENL21|DE||Antonio#*Mitja#*(VVJ)21||ariadnamitja@gmail.com22]</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2</v>
      </c>
      <c r="D1" s="822"/>
    </row>
    <row r="2" spans="1:6" s="555" customFormat="1" x14ac:dyDescent="0.25">
      <c r="A2" s="556" t="s">
        <v>584</v>
      </c>
      <c r="C2" s="557">
        <f>$C$1+2</f>
        <v>4</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Group A</v>
      </c>
      <c r="C6" s="548" t="s">
        <v>9</v>
      </c>
      <c r="D6" s="548" t="s">
        <v>561</v>
      </c>
      <c r="E6" s="548" t="s">
        <v>1244</v>
      </c>
      <c r="F6" s="548" t="s">
        <v>1577</v>
      </c>
    </row>
    <row r="7" spans="1:6" s="546" customFormat="1" x14ac:dyDescent="0.25">
      <c r="A7" s="534" t="str">
        <f>LEFT(A6,5)&amp;RIGHT("000"&amp;RIGHT(A6,3)*1+1,3)</f>
        <v>02-B-002</v>
      </c>
      <c r="B7" s="800" t="str">
        <f t="shared" ca="1" si="0"/>
        <v>Germany</v>
      </c>
      <c r="C7" s="533" t="s">
        <v>1</v>
      </c>
      <c r="D7" s="533" t="s">
        <v>572</v>
      </c>
      <c r="E7" s="533" t="s">
        <v>1257</v>
      </c>
      <c r="F7" s="533" t="s">
        <v>1586</v>
      </c>
    </row>
    <row r="8" spans="1:6" s="532" customFormat="1" x14ac:dyDescent="0.25">
      <c r="A8" s="535" t="str">
        <f t="shared" ref="A8:A23" si="1">LEFT(A7,5)&amp;RIGHT("000"&amp;RIGHT(A7,3)*1+1,3)</f>
        <v>02-B-003</v>
      </c>
      <c r="B8" s="789" t="str">
        <f t="shared" ca="1" si="0"/>
        <v>Scotland</v>
      </c>
      <c r="C8" s="532" t="s">
        <v>2189</v>
      </c>
      <c r="D8" s="532" t="s">
        <v>2191</v>
      </c>
      <c r="E8" s="532" t="s">
        <v>2189</v>
      </c>
      <c r="F8" s="532" t="s">
        <v>2216</v>
      </c>
    </row>
    <row r="9" spans="1:6" s="533" customFormat="1" x14ac:dyDescent="0.25">
      <c r="A9" s="534" t="str">
        <f t="shared" si="1"/>
        <v>02-B-004</v>
      </c>
      <c r="B9" s="800" t="str">
        <f t="shared" ca="1" si="0"/>
        <v>Hungary</v>
      </c>
      <c r="C9" s="533" t="s">
        <v>2190</v>
      </c>
      <c r="D9" s="533" t="s">
        <v>2192</v>
      </c>
      <c r="E9" s="533" t="s">
        <v>2205</v>
      </c>
      <c r="F9" s="533" t="s">
        <v>2217</v>
      </c>
    </row>
    <row r="10" spans="1:6" s="532" customFormat="1" x14ac:dyDescent="0.25">
      <c r="A10" s="535" t="str">
        <f t="shared" si="1"/>
        <v>02-B-005</v>
      </c>
      <c r="B10" s="789" t="str">
        <f t="shared" ca="1" si="0"/>
        <v>Switzerland</v>
      </c>
      <c r="C10" s="532" t="s">
        <v>851</v>
      </c>
      <c r="D10" s="532" t="s">
        <v>570</v>
      </c>
      <c r="E10" s="532" t="s">
        <v>1245</v>
      </c>
      <c r="F10" s="532" t="s">
        <v>1245</v>
      </c>
    </row>
    <row r="11" spans="1:6" s="533" customFormat="1" x14ac:dyDescent="0.25">
      <c r="A11" s="534" t="str">
        <f t="shared" si="1"/>
        <v>02-B-006</v>
      </c>
      <c r="B11" s="786" t="str">
        <f t="shared" ca="1" si="0"/>
        <v>Group B</v>
      </c>
      <c r="C11" s="546" t="s">
        <v>14</v>
      </c>
      <c r="D11" s="546" t="s">
        <v>562</v>
      </c>
      <c r="E11" s="546" t="s">
        <v>1246</v>
      </c>
      <c r="F11" s="546" t="s">
        <v>1578</v>
      </c>
    </row>
    <row r="12" spans="1:6" s="548" customFormat="1" x14ac:dyDescent="0.25">
      <c r="A12" s="547" t="str">
        <f t="shared" si="1"/>
        <v>02-B-007</v>
      </c>
      <c r="B12" s="789" t="str">
        <f t="shared" ca="1" si="0"/>
        <v>Spain</v>
      </c>
      <c r="C12" s="532" t="s">
        <v>856</v>
      </c>
      <c r="D12" s="532" t="s">
        <v>563</v>
      </c>
      <c r="E12" s="532" t="s">
        <v>1254</v>
      </c>
      <c r="F12" s="532" t="s">
        <v>1254</v>
      </c>
    </row>
    <row r="13" spans="1:6" s="533" customFormat="1" x14ac:dyDescent="0.25">
      <c r="A13" s="534" t="str">
        <f t="shared" si="1"/>
        <v>02-B-008</v>
      </c>
      <c r="B13" s="800" t="str">
        <f t="shared" ca="1" si="0"/>
        <v>Croatia</v>
      </c>
      <c r="C13" s="533" t="s">
        <v>855</v>
      </c>
      <c r="D13" s="533" t="s">
        <v>568</v>
      </c>
      <c r="E13" s="533" t="s">
        <v>1252</v>
      </c>
      <c r="F13" s="533" t="s">
        <v>1252</v>
      </c>
    </row>
    <row r="14" spans="1:6" s="532" customFormat="1" x14ac:dyDescent="0.25">
      <c r="A14" s="535" t="str">
        <f t="shared" si="1"/>
        <v>02-B-009</v>
      </c>
      <c r="B14" s="789" t="str">
        <f t="shared" ca="1" si="0"/>
        <v>Italy</v>
      </c>
      <c r="C14" s="532" t="s">
        <v>2193</v>
      </c>
      <c r="D14" s="532" t="s">
        <v>2194</v>
      </c>
      <c r="E14" s="532" t="s">
        <v>2206</v>
      </c>
      <c r="F14" s="532" t="s">
        <v>2206</v>
      </c>
    </row>
    <row r="15" spans="1:6" s="533" customFormat="1" x14ac:dyDescent="0.25">
      <c r="A15" s="534" t="str">
        <f t="shared" si="1"/>
        <v>02-B-010</v>
      </c>
      <c r="B15" s="800" t="str">
        <f t="shared" ca="1" si="0"/>
        <v>Albania</v>
      </c>
      <c r="C15" s="538" t="s">
        <v>2195</v>
      </c>
      <c r="D15" s="538" t="s">
        <v>2196</v>
      </c>
      <c r="E15" s="538" t="s">
        <v>2207</v>
      </c>
      <c r="F15" s="538" t="s">
        <v>2207</v>
      </c>
    </row>
    <row r="16" spans="1:6" s="532" customFormat="1" x14ac:dyDescent="0.25">
      <c r="A16" s="535" t="str">
        <f t="shared" si="1"/>
        <v>02-B-011</v>
      </c>
      <c r="B16" s="799" t="str">
        <f t="shared" ca="1" si="0"/>
        <v>Group C</v>
      </c>
      <c r="C16" s="548" t="s">
        <v>22</v>
      </c>
      <c r="D16" s="548" t="s">
        <v>564</v>
      </c>
      <c r="E16" s="548" t="s">
        <v>1249</v>
      </c>
      <c r="F16" s="548" t="s">
        <v>1580</v>
      </c>
    </row>
    <row r="17" spans="1:6" s="546" customFormat="1" x14ac:dyDescent="0.25">
      <c r="A17" s="545" t="str">
        <f t="shared" si="1"/>
        <v>02-B-012</v>
      </c>
      <c r="B17" s="800" t="str">
        <f t="shared" ca="1" si="0"/>
        <v>Slovenia</v>
      </c>
      <c r="C17" s="533" t="s">
        <v>2197</v>
      </c>
      <c r="D17" s="533" t="s">
        <v>2198</v>
      </c>
      <c r="E17" s="533" t="s">
        <v>2209</v>
      </c>
      <c r="F17" s="533" t="s">
        <v>2208</v>
      </c>
    </row>
    <row r="18" spans="1:6" s="532" customFormat="1" x14ac:dyDescent="0.25">
      <c r="A18" s="535" t="str">
        <f t="shared" si="1"/>
        <v>02-B-013</v>
      </c>
      <c r="B18" s="789" t="str">
        <f t="shared" ca="1" si="0"/>
        <v>Denmark</v>
      </c>
      <c r="C18" s="532" t="s">
        <v>852</v>
      </c>
      <c r="D18" s="532" t="s">
        <v>566</v>
      </c>
      <c r="E18" s="532" t="s">
        <v>1247</v>
      </c>
      <c r="F18" s="532" t="s">
        <v>1579</v>
      </c>
    </row>
    <row r="19" spans="1:6" s="533" customFormat="1" x14ac:dyDescent="0.25">
      <c r="A19" s="534" t="str">
        <f t="shared" si="1"/>
        <v>02-B-014</v>
      </c>
      <c r="B19" s="800" t="str">
        <f t="shared" ca="1" si="0"/>
        <v>Serbia</v>
      </c>
      <c r="C19" s="533" t="s">
        <v>1853</v>
      </c>
      <c r="D19" s="533" t="s">
        <v>1854</v>
      </c>
      <c r="E19" s="533" t="s">
        <v>1855</v>
      </c>
      <c r="F19" s="533" t="s">
        <v>1855</v>
      </c>
    </row>
    <row r="20" spans="1:6" s="532" customFormat="1" x14ac:dyDescent="0.25">
      <c r="A20" s="535" t="str">
        <f t="shared" si="1"/>
        <v>02-B-015</v>
      </c>
      <c r="B20" s="789" t="str">
        <f t="shared" ca="1" si="0"/>
        <v>England</v>
      </c>
      <c r="C20" s="532" t="s">
        <v>854</v>
      </c>
      <c r="D20" s="532" t="s">
        <v>575</v>
      </c>
      <c r="E20" s="532" t="s">
        <v>575</v>
      </c>
      <c r="F20" s="532" t="s">
        <v>575</v>
      </c>
    </row>
    <row r="21" spans="1:6" s="533" customFormat="1" x14ac:dyDescent="0.25">
      <c r="A21" s="534" t="str">
        <f t="shared" si="1"/>
        <v>02-B-016</v>
      </c>
      <c r="B21" s="786" t="str">
        <f t="shared" ca="1" si="0"/>
        <v>Group D</v>
      </c>
      <c r="C21" s="546" t="s">
        <v>23</v>
      </c>
      <c r="D21" s="546" t="s">
        <v>567</v>
      </c>
      <c r="E21" s="546" t="s">
        <v>1251</v>
      </c>
      <c r="F21" s="546" t="s">
        <v>1582</v>
      </c>
    </row>
    <row r="22" spans="1:6" s="548" customFormat="1" x14ac:dyDescent="0.25">
      <c r="A22" s="547" t="str">
        <f t="shared" si="1"/>
        <v>02-B-017</v>
      </c>
      <c r="B22" s="789" t="str">
        <f t="shared" ca="1" si="0"/>
        <v>Poland</v>
      </c>
      <c r="C22" s="532" t="s">
        <v>2466</v>
      </c>
      <c r="D22" s="532" t="s">
        <v>2467</v>
      </c>
      <c r="E22" s="532" t="s">
        <v>2466</v>
      </c>
      <c r="F22" s="532" t="s">
        <v>2466</v>
      </c>
    </row>
    <row r="23" spans="1:6" s="533" customFormat="1" x14ac:dyDescent="0.25">
      <c r="A23" s="534" t="str">
        <f t="shared" si="1"/>
        <v>02-B-018</v>
      </c>
      <c r="B23" s="800" t="str">
        <f t="shared" ca="1" si="0"/>
        <v>Netherlands</v>
      </c>
      <c r="C23" s="533" t="s">
        <v>853</v>
      </c>
      <c r="D23" s="533" t="s">
        <v>850</v>
      </c>
      <c r="E23" s="533" t="s">
        <v>1250</v>
      </c>
      <c r="F23" s="533" t="s">
        <v>1581</v>
      </c>
    </row>
    <row r="24" spans="1:6" s="532" customFormat="1" x14ac:dyDescent="0.25">
      <c r="A24" s="535" t="str">
        <f>LEFT(A23,5)&amp;RIGHT("000"&amp;RIGHT(A23,3)*1+1,3)</f>
        <v>02-B-019</v>
      </c>
      <c r="B24" s="789" t="str">
        <f t="shared" ca="1" si="0"/>
        <v>Austria</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France</v>
      </c>
      <c r="C25" s="533" t="s">
        <v>465</v>
      </c>
      <c r="D25" s="533" t="s">
        <v>565</v>
      </c>
      <c r="E25" s="533" t="s">
        <v>1256</v>
      </c>
      <c r="F25" s="533" t="s">
        <v>1585</v>
      </c>
    </row>
    <row r="26" spans="1:6" s="532" customFormat="1" x14ac:dyDescent="0.25">
      <c r="A26" s="535" t="str">
        <f t="shared" si="2"/>
        <v>02-B-021</v>
      </c>
      <c r="B26" s="799" t="str">
        <f t="shared" ca="1" si="0"/>
        <v>Group E</v>
      </c>
      <c r="C26" s="548" t="s">
        <v>105</v>
      </c>
      <c r="D26" s="548" t="s">
        <v>569</v>
      </c>
      <c r="E26" s="548" t="s">
        <v>1253</v>
      </c>
      <c r="F26" s="548" t="s">
        <v>1583</v>
      </c>
    </row>
    <row r="27" spans="1:6" s="546" customFormat="1" x14ac:dyDescent="0.25">
      <c r="A27" s="545" t="str">
        <f t="shared" si="2"/>
        <v>02-B-022</v>
      </c>
      <c r="B27" s="800" t="str">
        <f t="shared" ca="1" si="0"/>
        <v>Belgium</v>
      </c>
      <c r="C27" s="533" t="s">
        <v>463</v>
      </c>
      <c r="D27" s="533" t="s">
        <v>574</v>
      </c>
      <c r="E27" s="533" t="s">
        <v>1248</v>
      </c>
      <c r="F27" s="533" t="s">
        <v>1248</v>
      </c>
    </row>
    <row r="28" spans="1:6" s="532" customFormat="1" x14ac:dyDescent="0.25">
      <c r="A28" s="535" t="str">
        <f t="shared" si="2"/>
        <v>02-B-023</v>
      </c>
      <c r="B28" s="789" t="str">
        <f t="shared" ca="1" si="0"/>
        <v>Slovakia</v>
      </c>
      <c r="C28" s="537" t="s">
        <v>2200</v>
      </c>
      <c r="D28" s="537" t="s">
        <v>2199</v>
      </c>
      <c r="E28" s="537" t="s">
        <v>2210</v>
      </c>
      <c r="F28" s="537" t="s">
        <v>2218</v>
      </c>
    </row>
    <row r="29" spans="1:6" s="533" customFormat="1" x14ac:dyDescent="0.25">
      <c r="A29" s="534" t="str">
        <f t="shared" si="2"/>
        <v>02-B-024</v>
      </c>
      <c r="B29" s="800" t="str">
        <f t="shared" ca="1" si="0"/>
        <v>Romania</v>
      </c>
      <c r="C29" s="533" t="s">
        <v>2202</v>
      </c>
      <c r="D29" s="533" t="s">
        <v>2201</v>
      </c>
      <c r="E29" s="533" t="s">
        <v>2211</v>
      </c>
      <c r="F29" s="533" t="s">
        <v>2211</v>
      </c>
    </row>
    <row r="30" spans="1:6" s="532" customFormat="1" x14ac:dyDescent="0.25">
      <c r="A30" s="535" t="str">
        <f t="shared" si="2"/>
        <v>02-B-025</v>
      </c>
      <c r="B30" s="789" t="str">
        <f t="shared" ca="1" si="0"/>
        <v>Ukraine</v>
      </c>
      <c r="C30" s="532" t="s">
        <v>2468</v>
      </c>
      <c r="D30" s="532" t="s">
        <v>2469</v>
      </c>
      <c r="E30" s="532" t="s">
        <v>2469</v>
      </c>
      <c r="F30" s="532" t="s">
        <v>2473</v>
      </c>
    </row>
    <row r="31" spans="1:6" s="533" customFormat="1" x14ac:dyDescent="0.25">
      <c r="A31" s="534" t="str">
        <f t="shared" si="2"/>
        <v>02-B-026</v>
      </c>
      <c r="B31" s="786" t="str">
        <f t="shared" ca="1" si="0"/>
        <v>Group F</v>
      </c>
      <c r="C31" s="546" t="s">
        <v>106</v>
      </c>
      <c r="D31" s="546" t="s">
        <v>571</v>
      </c>
      <c r="E31" s="546" t="s">
        <v>1255</v>
      </c>
      <c r="F31" s="546" t="s">
        <v>1584</v>
      </c>
    </row>
    <row r="32" spans="1:6" s="548" customFormat="1" x14ac:dyDescent="0.25">
      <c r="A32" s="547" t="str">
        <f t="shared" si="2"/>
        <v>02-B-027</v>
      </c>
      <c r="B32" s="789" t="str">
        <f t="shared" ca="1" si="0"/>
        <v>Turkey</v>
      </c>
      <c r="C32" s="532" t="s">
        <v>2204</v>
      </c>
      <c r="D32" s="532" t="s">
        <v>2213</v>
      </c>
      <c r="E32" s="532" t="s">
        <v>2212</v>
      </c>
      <c r="F32" s="532" t="s">
        <v>2219</v>
      </c>
    </row>
    <row r="33" spans="1:6" s="533" customFormat="1" x14ac:dyDescent="0.25">
      <c r="A33" s="534" t="str">
        <f t="shared" si="2"/>
        <v>02-B-028</v>
      </c>
      <c r="B33" s="800" t="str">
        <f t="shared" ca="1" si="0"/>
        <v>Georgia</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Czech Republic</v>
      </c>
      <c r="C35" s="533" t="s">
        <v>2203</v>
      </c>
      <c r="D35" s="533" t="s">
        <v>2215</v>
      </c>
      <c r="E35" s="533" t="s">
        <v>2214</v>
      </c>
      <c r="F35" s="533" t="s">
        <v>2220</v>
      </c>
    </row>
    <row r="36" spans="1:6" s="532" customFormat="1" x14ac:dyDescent="0.25">
      <c r="A36" s="535" t="str">
        <f t="shared" si="2"/>
        <v>02-B-031</v>
      </c>
      <c r="B36" s="799" t="str">
        <f t="shared" ca="1" si="0"/>
        <v>Group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Group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B4D3E1B2F4C2C4D4F2A1A3B3D2D1F3E3A2C3E2C1B1A4F1E4G1G2G3G4H1H2H3H4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Albanian national team</v>
      </c>
      <c r="C51" s="538" t="s">
        <v>2233</v>
      </c>
      <c r="D51" s="538" t="s">
        <v>2245</v>
      </c>
      <c r="E51" s="538" t="s">
        <v>2264</v>
      </c>
      <c r="F51" s="538" t="s">
        <v>2277</v>
      </c>
    </row>
    <row r="52" spans="1:6" s="537" customFormat="1" x14ac:dyDescent="0.25">
      <c r="A52" s="550" t="str">
        <f t="shared" si="3"/>
        <v>02-B-047</v>
      </c>
      <c r="B52" s="789" t="str">
        <f t="shared" ca="1" si="4"/>
        <v>Belgian national team</v>
      </c>
      <c r="C52" s="537" t="s">
        <v>1861</v>
      </c>
      <c r="D52" s="537" t="s">
        <v>2246</v>
      </c>
      <c r="E52" s="537" t="s">
        <v>1260</v>
      </c>
      <c r="F52" s="537" t="s">
        <v>2278</v>
      </c>
    </row>
    <row r="53" spans="1:6" s="538" customFormat="1" x14ac:dyDescent="0.25">
      <c r="A53" s="549" t="str">
        <f t="shared" si="3"/>
        <v>02-B-048</v>
      </c>
      <c r="B53" s="800" t="str">
        <f t="shared" ca="1" si="4"/>
        <v>Danish national team</v>
      </c>
      <c r="C53" s="538" t="s">
        <v>2239</v>
      </c>
      <c r="D53" s="538" t="s">
        <v>966</v>
      </c>
      <c r="E53" s="538" t="s">
        <v>1261</v>
      </c>
      <c r="F53" s="538" t="s">
        <v>2279</v>
      </c>
    </row>
    <row r="54" spans="1:6" s="537" customFormat="1" x14ac:dyDescent="0.25">
      <c r="A54" s="550" t="str">
        <f t="shared" si="3"/>
        <v>02-B-049</v>
      </c>
      <c r="B54" s="789" t="str">
        <f t="shared" ca="1" si="4"/>
        <v>German national team</v>
      </c>
      <c r="C54" s="537" t="s">
        <v>1860</v>
      </c>
      <c r="D54" s="537" t="s">
        <v>2247</v>
      </c>
      <c r="E54" s="537" t="s">
        <v>2265</v>
      </c>
      <c r="F54" s="537" t="s">
        <v>2280</v>
      </c>
    </row>
    <row r="55" spans="1:6" s="538" customFormat="1" x14ac:dyDescent="0.25">
      <c r="A55" s="549" t="str">
        <f t="shared" si="3"/>
        <v>02-B-050</v>
      </c>
      <c r="B55" s="800" t="str">
        <f t="shared" ca="1" si="4"/>
        <v>English national team</v>
      </c>
      <c r="C55" s="538" t="s">
        <v>1857</v>
      </c>
      <c r="D55" s="538" t="s">
        <v>2248</v>
      </c>
      <c r="E55" s="538" t="s">
        <v>2266</v>
      </c>
      <c r="F55" s="538" t="s">
        <v>2281</v>
      </c>
    </row>
    <row r="56" spans="1:6" s="537" customFormat="1" x14ac:dyDescent="0.25">
      <c r="A56" s="550" t="str">
        <f t="shared" si="3"/>
        <v>02-B-051</v>
      </c>
      <c r="B56" s="789" t="str">
        <f t="shared" ca="1" si="4"/>
        <v>French national team</v>
      </c>
      <c r="C56" s="537" t="s">
        <v>1858</v>
      </c>
      <c r="D56" s="537" t="s">
        <v>2249</v>
      </c>
      <c r="E56" s="537" t="s">
        <v>1262</v>
      </c>
      <c r="F56" s="537" t="s">
        <v>2282</v>
      </c>
    </row>
    <row r="57" spans="1:6" s="538" customFormat="1" x14ac:dyDescent="0.25">
      <c r="A57" s="549" t="str">
        <f t="shared" si="3"/>
        <v>02-B-052</v>
      </c>
      <c r="B57" s="800" t="str">
        <f t="shared" ca="1" si="4"/>
        <v>Georgian national team</v>
      </c>
      <c r="C57" s="538" t="s">
        <v>2483</v>
      </c>
      <c r="D57" s="538" t="s">
        <v>2486</v>
      </c>
      <c r="E57" s="538" t="s">
        <v>2489</v>
      </c>
      <c r="F57" s="538" t="s">
        <v>2492</v>
      </c>
    </row>
    <row r="58" spans="1:6" s="537" customFormat="1" x14ac:dyDescent="0.25">
      <c r="A58" s="550" t="str">
        <f t="shared" si="3"/>
        <v>02-B-053</v>
      </c>
      <c r="B58" s="789" t="str">
        <f t="shared" ca="1" si="4"/>
        <v>Hungarian national team</v>
      </c>
      <c r="C58" s="537" t="s">
        <v>2234</v>
      </c>
      <c r="D58" s="537" t="s">
        <v>2250</v>
      </c>
      <c r="E58" s="537" t="s">
        <v>2267</v>
      </c>
      <c r="F58" s="537" t="s">
        <v>2283</v>
      </c>
    </row>
    <row r="59" spans="1:6" s="538" customFormat="1" x14ac:dyDescent="0.25">
      <c r="A59" s="549" t="str">
        <f t="shared" si="3"/>
        <v>02-B-054</v>
      </c>
      <c r="B59" s="800" t="str">
        <f t="shared" ca="1" si="4"/>
        <v>Italian national team</v>
      </c>
      <c r="C59" s="538" t="s">
        <v>2240</v>
      </c>
      <c r="D59" s="538" t="s">
        <v>2251</v>
      </c>
      <c r="E59" s="538" t="s">
        <v>2268</v>
      </c>
      <c r="F59" s="538" t="s">
        <v>2284</v>
      </c>
    </row>
    <row r="60" spans="1:6" s="537" customFormat="1" x14ac:dyDescent="0.25">
      <c r="A60" s="550" t="str">
        <f t="shared" si="3"/>
        <v>02-B-055</v>
      </c>
      <c r="B60" s="789" t="str">
        <f t="shared" ca="1" si="4"/>
        <v>Croatian national team</v>
      </c>
      <c r="C60" s="537" t="s">
        <v>1862</v>
      </c>
      <c r="D60" s="537" t="s">
        <v>2252</v>
      </c>
      <c r="E60" s="537" t="s">
        <v>1263</v>
      </c>
      <c r="F60" s="537" t="s">
        <v>2285</v>
      </c>
    </row>
    <row r="61" spans="1:6" s="538" customFormat="1" x14ac:dyDescent="0.25">
      <c r="A61" s="549" t="str">
        <f t="shared" si="3"/>
        <v>02-B-056</v>
      </c>
      <c r="B61" s="800" t="str">
        <f t="shared" ca="1" si="4"/>
        <v>Dutch national team</v>
      </c>
      <c r="C61" s="538" t="s">
        <v>1856</v>
      </c>
      <c r="D61" s="538" t="s">
        <v>967</v>
      </c>
      <c r="E61" s="538" t="s">
        <v>1264</v>
      </c>
      <c r="F61" s="538" t="s">
        <v>2286</v>
      </c>
    </row>
    <row r="62" spans="1:6" s="537" customFormat="1" x14ac:dyDescent="0.25">
      <c r="A62" s="550" t="str">
        <f t="shared" si="3"/>
        <v>02-B-057</v>
      </c>
      <c r="B62" s="789" t="str">
        <f t="shared" ca="1" si="4"/>
        <v>Ukrainian national team</v>
      </c>
      <c r="C62" s="537" t="s">
        <v>2482</v>
      </c>
      <c r="D62" s="537" t="s">
        <v>2484</v>
      </c>
      <c r="E62" s="537" t="s">
        <v>2488</v>
      </c>
      <c r="F62" s="537" t="s">
        <v>2491</v>
      </c>
    </row>
    <row r="63" spans="1:6" s="538" customFormat="1" x14ac:dyDescent="0.25">
      <c r="A63" s="549" t="str">
        <f t="shared" si="3"/>
        <v>02-B-058</v>
      </c>
      <c r="B63" s="800" t="str">
        <f t="shared" ca="1" si="4"/>
        <v>Austrian national team</v>
      </c>
      <c r="C63" s="538" t="s">
        <v>2235</v>
      </c>
      <c r="D63" s="538" t="s">
        <v>2253</v>
      </c>
      <c r="E63" s="538" t="s">
        <v>2269</v>
      </c>
      <c r="F63" s="538" t="s">
        <v>2287</v>
      </c>
    </row>
    <row r="64" spans="1:6" s="537" customFormat="1" x14ac:dyDescent="0.25">
      <c r="A64" s="550" t="str">
        <f t="shared" si="3"/>
        <v>02-B-059</v>
      </c>
      <c r="B64" s="789" t="str">
        <f t="shared" ca="1" si="4"/>
        <v>Polish national team</v>
      </c>
      <c r="C64" s="537" t="s">
        <v>2481</v>
      </c>
      <c r="D64" s="537" t="s">
        <v>2485</v>
      </c>
      <c r="E64" s="537" t="s">
        <v>2487</v>
      </c>
      <c r="F64" s="537" t="s">
        <v>2490</v>
      </c>
    </row>
    <row r="65" spans="1:6" s="538" customFormat="1" x14ac:dyDescent="0.25">
      <c r="A65" s="549" t="str">
        <f t="shared" si="3"/>
        <v>02-B-060</v>
      </c>
      <c r="B65" s="800" t="str">
        <f t="shared" ca="1" si="4"/>
        <v>Portuguese national team</v>
      </c>
      <c r="C65" s="538" t="s">
        <v>1864</v>
      </c>
      <c r="D65" s="538" t="s">
        <v>2254</v>
      </c>
      <c r="E65" s="538" t="s">
        <v>2270</v>
      </c>
      <c r="F65" s="538" t="s">
        <v>2288</v>
      </c>
    </row>
    <row r="66" spans="1:6" s="537" customFormat="1" x14ac:dyDescent="0.25">
      <c r="A66" s="550" t="str">
        <f t="shared" si="3"/>
        <v>02-B-061</v>
      </c>
      <c r="B66" s="789" t="str">
        <f t="shared" ca="1" si="4"/>
        <v>Romanian national team</v>
      </c>
      <c r="C66" s="537" t="s">
        <v>2236</v>
      </c>
      <c r="D66" s="537" t="s">
        <v>2255</v>
      </c>
      <c r="E66" s="537" t="s">
        <v>2271</v>
      </c>
      <c r="F66" s="537" t="s">
        <v>2289</v>
      </c>
    </row>
    <row r="67" spans="1:6" s="538" customFormat="1" x14ac:dyDescent="0.25">
      <c r="A67" s="549" t="str">
        <f t="shared" si="3"/>
        <v>02-B-062</v>
      </c>
      <c r="B67" s="800" t="str">
        <f t="shared" ca="1" si="4"/>
        <v>Scottish national team</v>
      </c>
      <c r="C67" s="538" t="s">
        <v>2241</v>
      </c>
      <c r="D67" s="538" t="s">
        <v>2256</v>
      </c>
      <c r="E67" s="538" t="s">
        <v>2272</v>
      </c>
      <c r="F67" s="538" t="s">
        <v>2290</v>
      </c>
    </row>
    <row r="68" spans="1:6" s="537" customFormat="1" x14ac:dyDescent="0.25">
      <c r="A68" s="550" t="str">
        <f t="shared" si="3"/>
        <v>02-B-063</v>
      </c>
      <c r="B68" s="789" t="str">
        <f t="shared" ca="1" si="4"/>
        <v>Serbian national team</v>
      </c>
      <c r="C68" s="537" t="s">
        <v>1863</v>
      </c>
      <c r="D68" s="537" t="s">
        <v>2257</v>
      </c>
      <c r="E68" s="537" t="s">
        <v>1865</v>
      </c>
      <c r="F68" s="537" t="s">
        <v>2291</v>
      </c>
    </row>
    <row r="69" spans="1:6" s="538" customFormat="1" x14ac:dyDescent="0.25">
      <c r="A69" s="549" t="str">
        <f t="shared" si="3"/>
        <v>02-B-064</v>
      </c>
      <c r="B69" s="800" t="str">
        <f t="shared" ca="1" si="4"/>
        <v>Slovenian national team</v>
      </c>
      <c r="C69" s="538" t="s">
        <v>2238</v>
      </c>
      <c r="D69" s="538" t="s">
        <v>2258</v>
      </c>
      <c r="E69" s="538" t="s">
        <v>2273</v>
      </c>
      <c r="F69" s="538" t="s">
        <v>2292</v>
      </c>
    </row>
    <row r="70" spans="1:6" s="537" customFormat="1" x14ac:dyDescent="0.25">
      <c r="A70" s="550" t="str">
        <f t="shared" si="3"/>
        <v>02-B-065</v>
      </c>
      <c r="B70" s="789" t="str">
        <f t="shared" ca="1" si="4"/>
        <v>Slovak national team</v>
      </c>
      <c r="C70" s="537" t="s">
        <v>2237</v>
      </c>
      <c r="D70" s="537" t="s">
        <v>2259</v>
      </c>
      <c r="E70" s="537" t="s">
        <v>2274</v>
      </c>
      <c r="F70" s="537" t="s">
        <v>2293</v>
      </c>
    </row>
    <row r="71" spans="1:6" s="538" customFormat="1" x14ac:dyDescent="0.25">
      <c r="A71" s="549" t="str">
        <f t="shared" si="3"/>
        <v>02-B-066</v>
      </c>
      <c r="B71" s="800" t="str">
        <f t="shared" ca="1" si="4"/>
        <v>Spanish national team</v>
      </c>
      <c r="C71" s="538" t="s">
        <v>1859</v>
      </c>
      <c r="D71" s="538" t="s">
        <v>2260</v>
      </c>
      <c r="E71" s="538" t="s">
        <v>1265</v>
      </c>
      <c r="F71" s="538" t="s">
        <v>2294</v>
      </c>
    </row>
    <row r="72" spans="1:6" s="537" customFormat="1" x14ac:dyDescent="0.25">
      <c r="A72" s="550" t="str">
        <f t="shared" si="3"/>
        <v>02-B-067</v>
      </c>
      <c r="B72" s="789" t="str">
        <f t="shared" ca="1" si="4"/>
        <v>Czech national team</v>
      </c>
      <c r="C72" s="537" t="s">
        <v>2242</v>
      </c>
      <c r="D72" s="537" t="s">
        <v>2261</v>
      </c>
      <c r="E72" s="537" t="s">
        <v>2275</v>
      </c>
      <c r="F72" s="537" t="s">
        <v>2295</v>
      </c>
    </row>
    <row r="73" spans="1:6" s="538" customFormat="1" x14ac:dyDescent="0.25">
      <c r="A73" s="549" t="str">
        <f t="shared" si="3"/>
        <v>02-B-068</v>
      </c>
      <c r="B73" s="800" t="str">
        <f t="shared" ca="1" si="4"/>
        <v>Turkish national team</v>
      </c>
      <c r="C73" s="538" t="s">
        <v>2243</v>
      </c>
      <c r="D73" s="538" t="s">
        <v>2262</v>
      </c>
      <c r="E73" s="538" t="s">
        <v>2276</v>
      </c>
      <c r="F73" s="538" t="s">
        <v>2296</v>
      </c>
    </row>
    <row r="74" spans="1:6" s="537" customFormat="1" x14ac:dyDescent="0.25">
      <c r="A74" s="550" t="str">
        <f t="shared" si="3"/>
        <v>02-B-069</v>
      </c>
      <c r="B74" s="789" t="str">
        <f t="shared" ca="1" si="4"/>
        <v>Swiss national team</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D3E1F4D4F2D2D1F3E3E2F1E4</v>
      </c>
      <c r="H92" s="1028" t="str">
        <f t="shared" ref="H92:S92" ca="1" si="7">H100&amp;H101&amp;H102&amp;H103&amp;H104&amp;H105&amp;H106&amp;H107&amp;H108&amp;H109&amp;H110&amp;H111&amp;H112&amp;H113&amp;H114&amp;H115&amp;H116&amp;H117&amp;H118&amp;H119&amp;H120&amp;H121&amp;H122&amp;H123&amp;H124&amp;H125&amp;H126&amp;H127&amp;H128&amp;H129&amp;H130&amp;H131</f>
        <v>D3E1F4D4F2A1A3D2D1F3E3A2E2A4F1E4</v>
      </c>
      <c r="I92" s="1025" t="str">
        <f t="shared" ca="1" si="7"/>
        <v>B4B2C2C4A1A3B3A2C3C1B1A4</v>
      </c>
      <c r="J92" s="1028" t="str">
        <f t="shared" ca="1" si="7"/>
        <v>B4D3B2C2C4D4A1A3B3D2D1A2C3C1B1A4</v>
      </c>
      <c r="K92" s="1025" t="str">
        <f t="shared" ca="1" si="7"/>
        <v>B4D3E1B2F4D4F2A1A3B3D2D1F3E3A2E2B1A4F1E4</v>
      </c>
      <c r="L92" s="1028" t="str">
        <f t="shared" ca="1" si="7"/>
        <v>C2C4A1A3A2C3C1A4</v>
      </c>
      <c r="M92" s="1025" t="str">
        <f t="shared" ca="1" si="7"/>
        <v>B4B2F4C2C4F2A1A3B3F3A2C3C1B1A4F1</v>
      </c>
      <c r="N92" s="1028" t="str">
        <f t="shared" ca="1" si="7"/>
        <v>D3E1D4D2D1E3E2E4</v>
      </c>
      <c r="O92" s="1025" t="str">
        <f t="shared" ca="1" si="7"/>
        <v>D3E1F4C2C4D4F2D2D1F3E3C3E2C1F1E4</v>
      </c>
      <c r="P92" s="1028" t="str">
        <f t="shared" ca="1" si="7"/>
        <v>B4B2A1A3B3A2B1A4</v>
      </c>
      <c r="Q92" s="1025" t="str">
        <f t="shared" ca="1" si="7"/>
        <v>B4D3E1B2C2C4D4A1A3B3D2D1E3A2C3E2C1B1A4E4</v>
      </c>
      <c r="R92" s="1028" t="str">
        <f t="shared" ca="1" si="7"/>
        <v>D3F4D4F2D2D1F3F1</v>
      </c>
      <c r="S92" s="1025" t="str">
        <f t="shared" ca="1" si="7"/>
        <v>B4D3E1B2F4C2C4D4F2A1A3B3D2D1F3E3A2C3E2C1B1A4F1E4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D3</v>
      </c>
      <c r="G101" s="658" t="str">
        <f ca="1">IF(G$98=SUBSTITUTE(G$98,LEFT($F101,1),"X"),"",$F101)</f>
        <v>D3</v>
      </c>
      <c r="H101" s="659" t="str">
        <f t="shared" ref="G101:R131" ca="1" si="10">IF(H$98=SUBSTITUTE(H$98,LEFT($F101,1),"X"),"",$F101)</f>
        <v>D3</v>
      </c>
      <c r="I101" s="658" t="str">
        <f t="shared" ca="1" si="10"/>
        <v/>
      </c>
      <c r="J101" s="659" t="str">
        <f t="shared" ca="1" si="10"/>
        <v>D3</v>
      </c>
      <c r="K101" s="658" t="str">
        <f t="shared" ca="1" si="10"/>
        <v>D3</v>
      </c>
      <c r="L101" s="659" t="str">
        <f t="shared" ca="1" si="10"/>
        <v/>
      </c>
      <c r="M101" s="658" t="str">
        <f t="shared" ca="1" si="10"/>
        <v/>
      </c>
      <c r="N101" s="659" t="str">
        <f t="shared" ca="1" si="10"/>
        <v>D3</v>
      </c>
      <c r="O101" s="658" t="str">
        <f t="shared" ca="1" si="10"/>
        <v>D3</v>
      </c>
      <c r="P101" s="659" t="str">
        <f t="shared" ca="1" si="10"/>
        <v/>
      </c>
      <c r="Q101" s="658" t="str">
        <f t="shared" ca="1" si="10"/>
        <v>D3</v>
      </c>
      <c r="R101" s="659" t="str">
        <f t="shared" ca="1" si="10"/>
        <v>D3</v>
      </c>
      <c r="S101" s="658" t="str">
        <f t="shared" ref="S101:S131" ca="1" si="11">IF(S$98=SUBSTITUTE(S$98,LEFT($F101,1),"X"),"",$F101)</f>
        <v>D3</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E1</v>
      </c>
      <c r="G102" s="658" t="str">
        <f ca="1">IF(G$98=SUBSTITUTE(G$98,LEFT($F102,1),"X"),"",$F102)</f>
        <v>E1</v>
      </c>
      <c r="H102" s="659" t="str">
        <f t="shared" ca="1" si="10"/>
        <v>E1</v>
      </c>
      <c r="I102" s="658" t="str">
        <f t="shared" ca="1" si="10"/>
        <v/>
      </c>
      <c r="J102" s="659" t="str">
        <f t="shared" ca="1" si="10"/>
        <v/>
      </c>
      <c r="K102" s="658" t="str">
        <f t="shared" ca="1" si="10"/>
        <v>E1</v>
      </c>
      <c r="L102" s="659" t="str">
        <f t="shared" ca="1" si="10"/>
        <v/>
      </c>
      <c r="M102" s="658" t="str">
        <f t="shared" ca="1" si="10"/>
        <v/>
      </c>
      <c r="N102" s="659" t="str">
        <f t="shared" ca="1" si="10"/>
        <v>E1</v>
      </c>
      <c r="O102" s="658" t="str">
        <f t="shared" ca="1" si="10"/>
        <v>E1</v>
      </c>
      <c r="P102" s="659" t="str">
        <f t="shared" ca="1" si="10"/>
        <v/>
      </c>
      <c r="Q102" s="658" t="str">
        <f t="shared" ca="1" si="10"/>
        <v>E1</v>
      </c>
      <c r="R102" s="659" t="str">
        <f t="shared" ref="O102:R131" ca="1" si="16">IF(R$98=SUBSTITUTE(R$98,LEFT($F102,1),"X"),"",$F102)</f>
        <v/>
      </c>
      <c r="S102" s="658" t="str">
        <f t="shared" ca="1" si="11"/>
        <v>E1</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B2</v>
      </c>
      <c r="G103" s="658" t="str">
        <f t="shared" ca="1" si="10"/>
        <v/>
      </c>
      <c r="H103" s="659" t="str">
        <f t="shared" ca="1" si="10"/>
        <v/>
      </c>
      <c r="I103" s="658" t="str">
        <f t="shared" ca="1" si="10"/>
        <v>B2</v>
      </c>
      <c r="J103" s="659" t="str">
        <f t="shared" ca="1" si="10"/>
        <v>B2</v>
      </c>
      <c r="K103" s="658" t="str">
        <f t="shared" ca="1" si="10"/>
        <v>B2</v>
      </c>
      <c r="L103" s="659" t="str">
        <f t="shared" ca="1" si="10"/>
        <v/>
      </c>
      <c r="M103" s="658" t="str">
        <f t="shared" ca="1" si="10"/>
        <v>B2</v>
      </c>
      <c r="N103" s="659" t="str">
        <f t="shared" ca="1" si="10"/>
        <v/>
      </c>
      <c r="O103" s="658" t="str">
        <f t="shared" ca="1" si="16"/>
        <v/>
      </c>
      <c r="P103" s="659" t="str">
        <f t="shared" ca="1" si="16"/>
        <v>B2</v>
      </c>
      <c r="Q103" s="658" t="str">
        <f t="shared" ca="1" si="16"/>
        <v>B2</v>
      </c>
      <c r="R103" s="659" t="str">
        <f t="shared" ca="1" si="16"/>
        <v/>
      </c>
      <c r="S103" s="658" t="str">
        <f t="shared" ca="1" si="11"/>
        <v>B2</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F4</v>
      </c>
      <c r="G104" s="658" t="str">
        <f t="shared" ca="1" si="10"/>
        <v>F4</v>
      </c>
      <c r="H104" s="659" t="str">
        <f t="shared" ca="1" si="10"/>
        <v>F4</v>
      </c>
      <c r="I104" s="658" t="str">
        <f t="shared" ca="1" si="10"/>
        <v/>
      </c>
      <c r="J104" s="659" t="str">
        <f t="shared" ca="1" si="10"/>
        <v/>
      </c>
      <c r="K104" s="658" t="str">
        <f t="shared" ca="1" si="10"/>
        <v>F4</v>
      </c>
      <c r="L104" s="659" t="str">
        <f t="shared" ca="1" si="10"/>
        <v/>
      </c>
      <c r="M104" s="658" t="str">
        <f t="shared" ca="1" si="10"/>
        <v>F4</v>
      </c>
      <c r="N104" s="659" t="str">
        <f t="shared" ca="1" si="10"/>
        <v/>
      </c>
      <c r="O104" s="658" t="str">
        <f t="shared" ca="1" si="16"/>
        <v>F4</v>
      </c>
      <c r="P104" s="659" t="str">
        <f t="shared" ca="1" si="16"/>
        <v/>
      </c>
      <c r="Q104" s="658" t="str">
        <f t="shared" ca="1" si="16"/>
        <v/>
      </c>
      <c r="R104" s="659" t="str">
        <f t="shared" ca="1" si="16"/>
        <v>F4</v>
      </c>
      <c r="S104" s="658" t="str">
        <f t="shared" ca="1" si="11"/>
        <v>F4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C2</v>
      </c>
      <c r="G105" s="658" t="str">
        <f t="shared" ca="1" si="10"/>
        <v/>
      </c>
      <c r="H105" s="659" t="str">
        <f t="shared" ca="1" si="10"/>
        <v/>
      </c>
      <c r="I105" s="658" t="str">
        <f t="shared" ca="1" si="10"/>
        <v>C2</v>
      </c>
      <c r="J105" s="659" t="str">
        <f t="shared" ca="1" si="10"/>
        <v>C2</v>
      </c>
      <c r="K105" s="658" t="str">
        <f t="shared" ca="1" si="10"/>
        <v/>
      </c>
      <c r="L105" s="659" t="str">
        <f t="shared" ca="1" si="10"/>
        <v>C2</v>
      </c>
      <c r="M105" s="658" t="str">
        <f t="shared" ca="1" si="10"/>
        <v>C2</v>
      </c>
      <c r="N105" s="659" t="str">
        <f t="shared" ca="1" si="10"/>
        <v/>
      </c>
      <c r="O105" s="658" t="str">
        <f t="shared" ca="1" si="16"/>
        <v>C2</v>
      </c>
      <c r="P105" s="659" t="str">
        <f t="shared" ca="1" si="16"/>
        <v/>
      </c>
      <c r="Q105" s="658" t="str">
        <f t="shared" ca="1" si="16"/>
        <v>C2</v>
      </c>
      <c r="R105" s="659" t="str">
        <f t="shared" ca="1" si="16"/>
        <v/>
      </c>
      <c r="S105" s="658" t="str">
        <f t="shared" ca="1" si="11"/>
        <v>C2</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C4</v>
      </c>
      <c r="G106" s="658" t="str">
        <f t="shared" ca="1" si="10"/>
        <v/>
      </c>
      <c r="H106" s="659" t="str">
        <f t="shared" ca="1" si="10"/>
        <v/>
      </c>
      <c r="I106" s="658" t="str">
        <f t="shared" ca="1" si="10"/>
        <v>C4</v>
      </c>
      <c r="J106" s="659" t="str">
        <f t="shared" ca="1" si="10"/>
        <v>C4</v>
      </c>
      <c r="K106" s="658" t="str">
        <f t="shared" ca="1" si="10"/>
        <v/>
      </c>
      <c r="L106" s="659" t="str">
        <f t="shared" ca="1" si="10"/>
        <v>C4</v>
      </c>
      <c r="M106" s="658" t="str">
        <f t="shared" ca="1" si="10"/>
        <v>C4</v>
      </c>
      <c r="N106" s="659" t="str">
        <f t="shared" ca="1" si="10"/>
        <v/>
      </c>
      <c r="O106" s="658" t="str">
        <f t="shared" ca="1" si="16"/>
        <v>C4</v>
      </c>
      <c r="P106" s="659" t="str">
        <f t="shared" ca="1" si="16"/>
        <v/>
      </c>
      <c r="Q106" s="658" t="str">
        <f t="shared" ca="1" si="16"/>
        <v>C4</v>
      </c>
      <c r="R106" s="659" t="str">
        <f t="shared" ca="1" si="16"/>
        <v/>
      </c>
      <c r="S106" s="658" t="str">
        <f t="shared" ca="1" si="11"/>
        <v>C4</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D4</v>
      </c>
      <c r="G107" s="658" t="str">
        <f t="shared" ca="1" si="10"/>
        <v>D4</v>
      </c>
      <c r="H107" s="659" t="str">
        <f t="shared" ca="1" si="10"/>
        <v>D4</v>
      </c>
      <c r="I107" s="658" t="str">
        <f t="shared" ca="1" si="10"/>
        <v/>
      </c>
      <c r="J107" s="659" t="str">
        <f t="shared" ca="1" si="10"/>
        <v>D4</v>
      </c>
      <c r="K107" s="658" t="str">
        <f t="shared" ca="1" si="10"/>
        <v>D4</v>
      </c>
      <c r="L107" s="659" t="str">
        <f t="shared" ca="1" si="10"/>
        <v/>
      </c>
      <c r="M107" s="658" t="str">
        <f t="shared" ca="1" si="10"/>
        <v/>
      </c>
      <c r="N107" s="659" t="str">
        <f t="shared" ca="1" si="10"/>
        <v>D4</v>
      </c>
      <c r="O107" s="658" t="str">
        <f t="shared" ca="1" si="16"/>
        <v>D4</v>
      </c>
      <c r="P107" s="659" t="str">
        <f t="shared" ca="1" si="16"/>
        <v/>
      </c>
      <c r="Q107" s="658" t="str">
        <f t="shared" ca="1" si="16"/>
        <v>D4</v>
      </c>
      <c r="R107" s="659" t="str">
        <f t="shared" ca="1" si="16"/>
        <v>D4</v>
      </c>
      <c r="S107" s="658" t="str">
        <f t="shared" ca="1" si="11"/>
        <v>D4</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F2</v>
      </c>
      <c r="G108" s="658" t="str">
        <f t="shared" ca="1" si="10"/>
        <v>F2</v>
      </c>
      <c r="H108" s="659" t="str">
        <f t="shared" ca="1" si="10"/>
        <v>F2</v>
      </c>
      <c r="I108" s="658" t="str">
        <f t="shared" ca="1" si="10"/>
        <v/>
      </c>
      <c r="J108" s="659" t="str">
        <f t="shared" ca="1" si="10"/>
        <v/>
      </c>
      <c r="K108" s="658" t="str">
        <f t="shared" ca="1" si="10"/>
        <v>F2</v>
      </c>
      <c r="L108" s="659" t="str">
        <f t="shared" ca="1" si="10"/>
        <v/>
      </c>
      <c r="M108" s="658" t="str">
        <f t="shared" ca="1" si="10"/>
        <v>F2</v>
      </c>
      <c r="N108" s="659" t="str">
        <f t="shared" ca="1" si="10"/>
        <v/>
      </c>
      <c r="O108" s="658" t="str">
        <f t="shared" ca="1" si="16"/>
        <v>F2</v>
      </c>
      <c r="P108" s="659" t="str">
        <f t="shared" ca="1" si="16"/>
        <v/>
      </c>
      <c r="Q108" s="658" t="str">
        <f t="shared" ca="1" si="16"/>
        <v/>
      </c>
      <c r="R108" s="659" t="str">
        <f t="shared" ca="1" si="16"/>
        <v>F2</v>
      </c>
      <c r="S108" s="658" t="str">
        <f t="shared" ca="1" si="11"/>
        <v>F2</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A1</v>
      </c>
      <c r="G109" s="658" t="str">
        <f t="shared" ca="1" si="10"/>
        <v/>
      </c>
      <c r="H109" s="659" t="str">
        <f t="shared" ca="1" si="10"/>
        <v>A1</v>
      </c>
      <c r="I109" s="658" t="str">
        <f t="shared" ca="1" si="10"/>
        <v>A1</v>
      </c>
      <c r="J109" s="659" t="str">
        <f t="shared" ca="1" si="10"/>
        <v>A1</v>
      </c>
      <c r="K109" s="658" t="str">
        <f t="shared" ca="1" si="10"/>
        <v>A1</v>
      </c>
      <c r="L109" s="659" t="str">
        <f t="shared" ca="1" si="10"/>
        <v>A1</v>
      </c>
      <c r="M109" s="658" t="str">
        <f t="shared" ca="1" si="10"/>
        <v>A1</v>
      </c>
      <c r="N109" s="659" t="str">
        <f t="shared" ca="1" si="10"/>
        <v/>
      </c>
      <c r="O109" s="658" t="str">
        <f t="shared" ca="1" si="16"/>
        <v/>
      </c>
      <c r="P109" s="659" t="str">
        <f t="shared" ca="1" si="16"/>
        <v>A1</v>
      </c>
      <c r="Q109" s="658" t="str">
        <f t="shared" ca="1" si="16"/>
        <v>A1</v>
      </c>
      <c r="R109" s="659" t="str">
        <f t="shared" ca="1" si="16"/>
        <v/>
      </c>
      <c r="S109" s="658" t="str">
        <f t="shared" ca="1" si="11"/>
        <v>A1</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A3</v>
      </c>
      <c r="G110" s="658" t="str">
        <f t="shared" ca="1" si="10"/>
        <v/>
      </c>
      <c r="H110" s="659" t="str">
        <f t="shared" ca="1" si="10"/>
        <v>A3</v>
      </c>
      <c r="I110" s="658" t="str">
        <f t="shared" ca="1" si="10"/>
        <v>A3</v>
      </c>
      <c r="J110" s="659" t="str">
        <f t="shared" ca="1" si="10"/>
        <v>A3</v>
      </c>
      <c r="K110" s="658" t="str">
        <f t="shared" ca="1" si="10"/>
        <v>A3</v>
      </c>
      <c r="L110" s="659" t="str">
        <f t="shared" ca="1" si="10"/>
        <v>A3</v>
      </c>
      <c r="M110" s="658" t="str">
        <f t="shared" ca="1" si="10"/>
        <v>A3</v>
      </c>
      <c r="N110" s="659" t="str">
        <f t="shared" ca="1" si="10"/>
        <v/>
      </c>
      <c r="O110" s="658" t="str">
        <f t="shared" ca="1" si="16"/>
        <v/>
      </c>
      <c r="P110" s="659" t="str">
        <f t="shared" ca="1" si="16"/>
        <v>A3</v>
      </c>
      <c r="Q110" s="658" t="str">
        <f t="shared" ca="1" si="16"/>
        <v>A3</v>
      </c>
      <c r="R110" s="659" t="str">
        <f t="shared" ca="1" si="16"/>
        <v/>
      </c>
      <c r="S110" s="658" t="str">
        <f t="shared" ca="1" si="11"/>
        <v>A3</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B3</v>
      </c>
      <c r="G111" s="658" t="str">
        <f t="shared" ca="1" si="10"/>
        <v/>
      </c>
      <c r="H111" s="659" t="str">
        <f t="shared" ca="1" si="10"/>
        <v/>
      </c>
      <c r="I111" s="658" t="str">
        <f t="shared" ca="1" si="10"/>
        <v>B3</v>
      </c>
      <c r="J111" s="659" t="str">
        <f t="shared" ca="1" si="10"/>
        <v>B3</v>
      </c>
      <c r="K111" s="658" t="str">
        <f t="shared" ca="1" si="10"/>
        <v>B3</v>
      </c>
      <c r="L111" s="659" t="str">
        <f t="shared" ca="1" si="10"/>
        <v/>
      </c>
      <c r="M111" s="658" t="str">
        <f t="shared" ca="1" si="10"/>
        <v>B3</v>
      </c>
      <c r="N111" s="659" t="str">
        <f t="shared" ca="1" si="10"/>
        <v/>
      </c>
      <c r="O111" s="658" t="str">
        <f t="shared" ca="1" si="16"/>
        <v/>
      </c>
      <c r="P111" s="659" t="str">
        <f t="shared" ca="1" si="16"/>
        <v>B3</v>
      </c>
      <c r="Q111" s="658" t="str">
        <f t="shared" ca="1" si="16"/>
        <v>B3</v>
      </c>
      <c r="R111" s="659" t="str">
        <f t="shared" ca="1" si="16"/>
        <v/>
      </c>
      <c r="S111" s="658" t="str">
        <f t="shared" ca="1" si="11"/>
        <v>B3</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D2</v>
      </c>
      <c r="G112" s="658" t="str">
        <f t="shared" ca="1" si="10"/>
        <v>D2</v>
      </c>
      <c r="H112" s="659" t="str">
        <f t="shared" ca="1" si="10"/>
        <v>D2</v>
      </c>
      <c r="I112" s="658" t="str">
        <f t="shared" ca="1" si="10"/>
        <v/>
      </c>
      <c r="J112" s="659" t="str">
        <f t="shared" ca="1" si="10"/>
        <v>D2</v>
      </c>
      <c r="K112" s="658" t="str">
        <f t="shared" ca="1" si="10"/>
        <v>D2</v>
      </c>
      <c r="L112" s="659" t="str">
        <f t="shared" ca="1" si="10"/>
        <v/>
      </c>
      <c r="M112" s="658" t="str">
        <f t="shared" ca="1" si="10"/>
        <v/>
      </c>
      <c r="N112" s="659" t="str">
        <f t="shared" ca="1" si="10"/>
        <v>D2</v>
      </c>
      <c r="O112" s="658" t="str">
        <f t="shared" ca="1" si="16"/>
        <v>D2</v>
      </c>
      <c r="P112" s="659" t="str">
        <f t="shared" ca="1" si="16"/>
        <v/>
      </c>
      <c r="Q112" s="658" t="str">
        <f t="shared" ca="1" si="16"/>
        <v>D2</v>
      </c>
      <c r="R112" s="659" t="str">
        <f t="shared" ca="1" si="16"/>
        <v>D2</v>
      </c>
      <c r="S112" s="658" t="str">
        <f t="shared" ca="1" si="11"/>
        <v>D2</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E2</v>
      </c>
      <c r="G118" s="658" t="str">
        <f t="shared" ca="1" si="10"/>
        <v>E2</v>
      </c>
      <c r="H118" s="659" t="str">
        <f t="shared" ca="1" si="10"/>
        <v>E2</v>
      </c>
      <c r="I118" s="658" t="str">
        <f t="shared" ca="1" si="10"/>
        <v/>
      </c>
      <c r="J118" s="659" t="str">
        <f t="shared" ca="1" si="10"/>
        <v/>
      </c>
      <c r="K118" s="658" t="str">
        <f t="shared" ca="1" si="10"/>
        <v>E2</v>
      </c>
      <c r="L118" s="659" t="str">
        <f t="shared" ca="1" si="10"/>
        <v/>
      </c>
      <c r="M118" s="658" t="str">
        <f t="shared" ca="1" si="10"/>
        <v/>
      </c>
      <c r="N118" s="659" t="str">
        <f t="shared" ca="1" si="10"/>
        <v>E2</v>
      </c>
      <c r="O118" s="658" t="str">
        <f t="shared" ca="1" si="16"/>
        <v>E2</v>
      </c>
      <c r="P118" s="659" t="str">
        <f t="shared" ca="1" si="16"/>
        <v/>
      </c>
      <c r="Q118" s="658" t="str">
        <f t="shared" ca="1" si="16"/>
        <v>E2</v>
      </c>
      <c r="R118" s="659" t="str">
        <f t="shared" ca="1" si="16"/>
        <v/>
      </c>
      <c r="S118" s="658" t="str">
        <f t="shared" ca="1" si="11"/>
        <v>E2</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C1</v>
      </c>
      <c r="G119" s="658" t="str">
        <f t="shared" ca="1" si="10"/>
        <v/>
      </c>
      <c r="H119" s="659" t="str">
        <f t="shared" ca="1" si="10"/>
        <v/>
      </c>
      <c r="I119" s="658" t="str">
        <f t="shared" ca="1" si="10"/>
        <v>C1</v>
      </c>
      <c r="J119" s="659" t="str">
        <f t="shared" ca="1" si="10"/>
        <v>C1</v>
      </c>
      <c r="K119" s="658" t="str">
        <f t="shared" ca="1" si="10"/>
        <v/>
      </c>
      <c r="L119" s="659" t="str">
        <f t="shared" ca="1" si="10"/>
        <v>C1</v>
      </c>
      <c r="M119" s="658" t="str">
        <f t="shared" ca="1" si="10"/>
        <v>C1</v>
      </c>
      <c r="N119" s="659" t="str">
        <f t="shared" ca="1" si="10"/>
        <v/>
      </c>
      <c r="O119" s="658" t="str">
        <f t="shared" ca="1" si="16"/>
        <v>C1</v>
      </c>
      <c r="P119" s="659" t="str">
        <f t="shared" ca="1" si="16"/>
        <v/>
      </c>
      <c r="Q119" s="658" t="str">
        <f t="shared" ca="1" si="16"/>
        <v>C1</v>
      </c>
      <c r="R119" s="659" t="str">
        <f t="shared" ca="1" si="16"/>
        <v/>
      </c>
      <c r="S119" s="658" t="str">
        <f t="shared" ca="1" si="11"/>
        <v>C1</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A4</v>
      </c>
      <c r="G121" s="658" t="str">
        <f t="shared" ca="1" si="10"/>
        <v/>
      </c>
      <c r="H121" s="659" t="str">
        <f t="shared" ca="1" si="10"/>
        <v>A4</v>
      </c>
      <c r="I121" s="658" t="str">
        <f t="shared" ca="1" si="10"/>
        <v>A4</v>
      </c>
      <c r="J121" s="659" t="str">
        <f t="shared" ca="1" si="10"/>
        <v>A4</v>
      </c>
      <c r="K121" s="658" t="str">
        <f t="shared" ca="1" si="10"/>
        <v>A4</v>
      </c>
      <c r="L121" s="659" t="str">
        <f t="shared" ca="1" si="10"/>
        <v>A4</v>
      </c>
      <c r="M121" s="658" t="str">
        <f t="shared" ca="1" si="10"/>
        <v>A4</v>
      </c>
      <c r="N121" s="659" t="str">
        <f t="shared" ca="1" si="10"/>
        <v/>
      </c>
      <c r="O121" s="658" t="str">
        <f t="shared" ca="1" si="16"/>
        <v/>
      </c>
      <c r="P121" s="659" t="str">
        <f t="shared" ca="1" si="16"/>
        <v>A4</v>
      </c>
      <c r="Q121" s="658" t="str">
        <f t="shared" ca="1" si="16"/>
        <v>A4</v>
      </c>
      <c r="R121" s="659" t="str">
        <f t="shared" ca="1" si="16"/>
        <v/>
      </c>
      <c r="S121" s="658" t="str">
        <f t="shared" ca="1" si="11"/>
        <v>A4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E4</v>
      </c>
      <c r="G123" s="658" t="str">
        <f t="shared" ca="1" si="10"/>
        <v>E4</v>
      </c>
      <c r="H123" s="659" t="str">
        <f t="shared" ca="1" si="10"/>
        <v>E4</v>
      </c>
      <c r="I123" s="658" t="str">
        <f t="shared" ca="1" si="10"/>
        <v/>
      </c>
      <c r="J123" s="659" t="str">
        <f t="shared" ca="1" si="10"/>
        <v/>
      </c>
      <c r="K123" s="658" t="str">
        <f t="shared" ca="1" si="10"/>
        <v>E4</v>
      </c>
      <c r="L123" s="659" t="str">
        <f t="shared" ca="1" si="10"/>
        <v/>
      </c>
      <c r="M123" s="658" t="str">
        <f t="shared" ca="1" si="10"/>
        <v/>
      </c>
      <c r="N123" s="659" t="str">
        <f t="shared" ca="1" si="10"/>
        <v>E4</v>
      </c>
      <c r="O123" s="658" t="str">
        <f t="shared" ca="1" si="16"/>
        <v>E4</v>
      </c>
      <c r="P123" s="659" t="str">
        <f t="shared" ca="1" si="16"/>
        <v/>
      </c>
      <c r="Q123" s="658" t="str">
        <f t="shared" ca="1" si="16"/>
        <v>E4</v>
      </c>
      <c r="R123" s="659" t="str">
        <f t="shared" ca="1" si="16"/>
        <v/>
      </c>
      <c r="S123" s="658" t="str">
        <f t="shared" ca="1" si="11"/>
        <v>E4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2</v>
      </c>
    </row>
    <row r="2" spans="1:6" s="555" customFormat="1" x14ac:dyDescent="0.25">
      <c r="A2" s="556" t="s">
        <v>584</v>
      </c>
      <c r="C2" s="557">
        <f>$C$1+2</f>
        <v>4</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The Participation Rules</v>
      </c>
      <c r="C6" s="565" t="s">
        <v>1168</v>
      </c>
      <c r="D6" s="565" t="s">
        <v>621</v>
      </c>
      <c r="E6" s="565" t="s">
        <v>1267</v>
      </c>
      <c r="F6" s="565" t="s">
        <v>1588</v>
      </c>
    </row>
    <row r="7" spans="1:6" s="538" customFormat="1" x14ac:dyDescent="0.25">
      <c r="A7" s="549" t="str">
        <f t="shared" ref="A7:A74" si="1">LEFT(A6,5)&amp;RIGHT("000"&amp;RIGHT(A6,3)*1+1,3)</f>
        <v>03-C-002</v>
      </c>
      <c r="B7" s="788" t="str">
        <f t="shared" ca="1" si="0"/>
        <v>(page #)</v>
      </c>
      <c r="C7" s="538" t="s">
        <v>661</v>
      </c>
      <c r="D7" s="538" t="s">
        <v>662</v>
      </c>
      <c r="E7" s="538" t="s">
        <v>1268</v>
      </c>
      <c r="F7" s="538" t="s">
        <v>1589</v>
      </c>
    </row>
    <row r="8" spans="1:6" s="565" customFormat="1" x14ac:dyDescent="0.25">
      <c r="A8" s="564" t="str">
        <f t="shared" si="1"/>
        <v>03-C-003</v>
      </c>
      <c r="B8" s="784" t="str">
        <f t="shared" ca="1" si="0"/>
        <v>The Rules</v>
      </c>
      <c r="C8" s="565" t="s">
        <v>29</v>
      </c>
      <c r="D8" s="565" t="s">
        <v>620</v>
      </c>
      <c r="E8" s="565" t="s">
        <v>1269</v>
      </c>
      <c r="F8" s="565" t="s">
        <v>1590</v>
      </c>
    </row>
    <row r="9" spans="1:6" s="538" customFormat="1" x14ac:dyDescent="0.25">
      <c r="A9" s="549" t="str">
        <f t="shared" si="1"/>
        <v>03-C-004</v>
      </c>
      <c r="B9" s="788" t="str">
        <f t="shared" ca="1" si="0"/>
        <v>The Participation Code and / or the Participation Form must be submitted to $$$ (&amp;&amp;&amp;) before ###.</v>
      </c>
      <c r="C9" s="538" t="s">
        <v>2166</v>
      </c>
      <c r="D9" s="538" t="s">
        <v>624</v>
      </c>
      <c r="E9" s="538" t="s">
        <v>1270</v>
      </c>
      <c r="F9" s="538" t="s">
        <v>1591</v>
      </c>
    </row>
    <row r="10" spans="1:6" s="537" customFormat="1" x14ac:dyDescent="0.25">
      <c r="A10" s="550" t="str">
        <f t="shared" si="1"/>
        <v>03-C-005</v>
      </c>
      <c r="B10" s="787" t="str">
        <f t="shared" ca="1" si="0"/>
        <v>The Participation Code and / or the Participation Form must be emailed to "&amp;&amp;&amp;" before ###.</v>
      </c>
      <c r="C10" s="537" t="s">
        <v>2167</v>
      </c>
      <c r="D10" s="537" t="s">
        <v>658</v>
      </c>
      <c r="E10" s="537" t="s">
        <v>1271</v>
      </c>
      <c r="F10" s="537" t="s">
        <v>1592</v>
      </c>
    </row>
    <row r="11" spans="1:6" s="541" customFormat="1" x14ac:dyDescent="0.25">
      <c r="A11" s="539" t="str">
        <f t="shared" si="1"/>
        <v>03-C-006</v>
      </c>
      <c r="B11" s="791" t="str">
        <f t="shared" ca="1" si="0"/>
        <v>The buy-in must also be paid before the closing date.</v>
      </c>
      <c r="C11" s="541" t="s">
        <v>622</v>
      </c>
      <c r="D11" s="541" t="s">
        <v>625</v>
      </c>
      <c r="E11" s="541" t="s">
        <v>1272</v>
      </c>
      <c r="F11" s="541" t="s">
        <v>1593</v>
      </c>
    </row>
    <row r="12" spans="1:6" s="544" customFormat="1" x14ac:dyDescent="0.25">
      <c r="A12" s="542" t="str">
        <f t="shared" si="1"/>
        <v>03-C-007</v>
      </c>
      <c r="B12" s="790" t="str">
        <f t="shared" ca="1" si="0"/>
        <v>If this is not done on time, the participation will be declared invalid.</v>
      </c>
      <c r="C12" s="544" t="s">
        <v>623</v>
      </c>
      <c r="D12" s="544" t="s">
        <v>626</v>
      </c>
      <c r="E12" s="544" t="s">
        <v>1273</v>
      </c>
      <c r="F12" s="544" t="s">
        <v>1594</v>
      </c>
    </row>
    <row r="13" spans="1:6" s="541" customFormat="1" x14ac:dyDescent="0.25">
      <c r="A13" s="549" t="str">
        <f t="shared" si="1"/>
        <v>03-C-008</v>
      </c>
      <c r="B13" s="788" t="str">
        <f t="shared" ca="1" si="0"/>
        <v>After the start of the opening ceremony it is no longer possible to adjust your predictions.</v>
      </c>
      <c r="C13" s="538" t="s">
        <v>804</v>
      </c>
      <c r="D13" s="538" t="s">
        <v>805</v>
      </c>
      <c r="E13" s="538" t="s">
        <v>1274</v>
      </c>
      <c r="F13" s="538" t="s">
        <v>1595</v>
      </c>
    </row>
    <row r="14" spans="1:6" s="544" customFormat="1" x14ac:dyDescent="0.25">
      <c r="A14" s="542" t="str">
        <f t="shared" si="1"/>
        <v>03-C-009</v>
      </c>
      <c r="B14" s="790" t="str">
        <f t="shared" ca="1" si="0"/>
        <v>Before the start of the first 1/8 final it is possible to adjust your predictions for the knockout phase once.</v>
      </c>
      <c r="C14" s="544" t="s">
        <v>806</v>
      </c>
      <c r="D14" s="544" t="s">
        <v>876</v>
      </c>
      <c r="E14" s="544" t="s">
        <v>1275</v>
      </c>
      <c r="F14" s="544" t="s">
        <v>1596</v>
      </c>
    </row>
    <row r="15" spans="1:6" s="538" customFormat="1" x14ac:dyDescent="0.25">
      <c r="A15" s="549" t="str">
        <f t="shared" si="1"/>
        <v>03-C-010</v>
      </c>
      <c r="B15" s="788" t="str">
        <f t="shared" ca="1" si="0"/>
        <v>At this pool, participation is free and therefore no buy-in is required to participate.</v>
      </c>
      <c r="C15" s="538" t="s">
        <v>628</v>
      </c>
      <c r="D15" s="538" t="s">
        <v>627</v>
      </c>
      <c r="E15" s="538" t="s">
        <v>1276</v>
      </c>
      <c r="F15" s="538" t="s">
        <v>1597</v>
      </c>
    </row>
    <row r="16" spans="1:6" s="537" customFormat="1" x14ac:dyDescent="0.25">
      <c r="A16" s="550" t="str">
        <f t="shared" si="1"/>
        <v>03-C-011</v>
      </c>
      <c r="B16" s="787" t="str">
        <f t="shared" ca="1" si="0"/>
        <v>Despite the prize pool, participation in this pool is free</v>
      </c>
      <c r="C16" s="537" t="s">
        <v>802</v>
      </c>
      <c r="D16" s="537" t="s">
        <v>803</v>
      </c>
      <c r="E16" s="537" t="s">
        <v>1277</v>
      </c>
      <c r="F16" s="537" t="s">
        <v>1598</v>
      </c>
    </row>
    <row r="17" spans="1:6" s="538" customFormat="1" x14ac:dyDescent="0.25">
      <c r="A17" s="549" t="str">
        <f t="shared" si="1"/>
        <v>03-C-012</v>
      </c>
      <c r="B17" s="788" t="str">
        <f t="shared" ca="1" si="0"/>
        <v>This pool has a mandatory buy-in of €### for participation</v>
      </c>
      <c r="C17" s="538" t="s">
        <v>660</v>
      </c>
      <c r="D17" s="538" t="s">
        <v>659</v>
      </c>
      <c r="E17" s="538" t="s">
        <v>1278</v>
      </c>
      <c r="F17" s="538" t="s">
        <v>1599</v>
      </c>
    </row>
    <row r="18" spans="1:6" s="537" customFormat="1" x14ac:dyDescent="0.25">
      <c r="A18" s="550" t="str">
        <f t="shared" si="1"/>
        <v>03-C-013</v>
      </c>
      <c r="B18" s="787" t="str">
        <f t="shared" ca="1" si="0"/>
        <v>This pool has an optional buy-in of €### for participation</v>
      </c>
      <c r="C18" s="537" t="s">
        <v>800</v>
      </c>
      <c r="D18" s="537" t="s">
        <v>801</v>
      </c>
      <c r="E18" s="537" t="s">
        <v>1279</v>
      </c>
      <c r="F18" s="537" t="s">
        <v>1600</v>
      </c>
    </row>
    <row r="19" spans="1:6" s="538" customFormat="1" x14ac:dyDescent="0.25">
      <c r="A19" s="549" t="str">
        <f t="shared" si="1"/>
        <v>03-C-014</v>
      </c>
      <c r="B19" s="788" t="str">
        <f t="shared" ca="1" si="0"/>
        <v>(see worksheet 'Prijzenpot' for more info).</v>
      </c>
      <c r="C19" s="538" t="s">
        <v>629</v>
      </c>
      <c r="D19" s="538" t="s">
        <v>715</v>
      </c>
      <c r="E19" s="538" t="s">
        <v>1280</v>
      </c>
      <c r="F19" s="538" t="s">
        <v>1601</v>
      </c>
    </row>
    <row r="20" spans="1:6" s="537" customFormat="1" x14ac:dyDescent="0.25">
      <c r="A20" s="550" t="str">
        <f t="shared" si="1"/>
        <v>03-C-015</v>
      </c>
      <c r="B20" s="787" t="str">
        <f t="shared" ca="1" si="0"/>
        <v>(see the next page for more info).</v>
      </c>
      <c r="C20" s="537" t="s">
        <v>630</v>
      </c>
      <c r="D20" s="537" t="s">
        <v>631</v>
      </c>
      <c r="E20" s="537" t="s">
        <v>1281</v>
      </c>
      <c r="F20" s="537" t="s">
        <v>1602</v>
      </c>
    </row>
    <row r="21" spans="1:6" s="538" customFormat="1" x14ac:dyDescent="0.25">
      <c r="A21" s="549" t="str">
        <f t="shared" si="1"/>
        <v>03-C-016</v>
      </c>
      <c r="B21" s="788" t="str">
        <f t="shared" ca="1" si="0"/>
        <v>As a participant, it is permitted to submit multiple participation forms.</v>
      </c>
      <c r="C21" s="538" t="s">
        <v>634</v>
      </c>
      <c r="D21" s="538" t="s">
        <v>632</v>
      </c>
      <c r="E21" s="538" t="s">
        <v>1282</v>
      </c>
      <c r="F21" s="538" t="s">
        <v>1603</v>
      </c>
    </row>
    <row r="22" spans="1:6" s="537" customFormat="1" x14ac:dyDescent="0.25">
      <c r="A22" s="550" t="str">
        <f t="shared" si="1"/>
        <v>03-C-017</v>
      </c>
      <c r="B22" s="787" t="str">
        <f t="shared" ca="1" si="0"/>
        <v>As a participant, it is not permitted to submit multiple participation forms.</v>
      </c>
      <c r="C22" s="537" t="s">
        <v>635</v>
      </c>
      <c r="D22" s="537" t="s">
        <v>633</v>
      </c>
      <c r="E22" s="537" t="s">
        <v>1283</v>
      </c>
      <c r="F22" s="537" t="s">
        <v>1604</v>
      </c>
    </row>
    <row r="23" spans="1:6" s="538" customFormat="1" x14ac:dyDescent="0.25">
      <c r="A23" s="549" t="str">
        <f t="shared" si="1"/>
        <v>03-C-018</v>
      </c>
      <c r="B23" s="788" t="str">
        <f t="shared" ca="1" si="0"/>
        <v>It is not possible to predict results in which one team will score more than 9 goals. If a team scores more than 9 goals during one match, 9 goals will be noted for the result.</v>
      </c>
      <c r="C23" s="538" t="s">
        <v>636</v>
      </c>
      <c r="D23" s="538" t="s">
        <v>637</v>
      </c>
      <c r="E23" s="538" t="s">
        <v>1284</v>
      </c>
      <c r="F23" s="538" t="s">
        <v>1605</v>
      </c>
    </row>
    <row r="24" spans="1:6" s="537" customFormat="1" x14ac:dyDescent="0.25">
      <c r="A24" s="550" t="str">
        <f t="shared" si="1"/>
        <v>03-C-019</v>
      </c>
      <c r="B24" s="787" t="str">
        <f t="shared" ca="1" si="0"/>
        <v>For predicting the TOTO, enter a 1 when you think the home team will win, a 2 if you think the away team will win and when you expect a draw, you enter a 3.</v>
      </c>
      <c r="C24" s="537" t="s">
        <v>271</v>
      </c>
      <c r="D24" s="537" t="s">
        <v>638</v>
      </c>
      <c r="E24" s="537" t="s">
        <v>1285</v>
      </c>
      <c r="F24" s="537" t="s">
        <v>1606</v>
      </c>
    </row>
    <row r="25" spans="1:6" s="538" customFormat="1" x14ac:dyDescent="0.25">
      <c r="A25" s="549" t="str">
        <f t="shared" si="1"/>
        <v>03-C-020</v>
      </c>
      <c r="B25" s="788" t="str">
        <f t="shared" ca="1" si="0"/>
        <v>During the knockout phase, the result that is reached after the end of the regular playing time including the injury time will be used.</v>
      </c>
      <c r="C25" s="538" t="s">
        <v>639</v>
      </c>
      <c r="D25" s="538" t="s">
        <v>877</v>
      </c>
      <c r="E25" s="538" t="s">
        <v>1286</v>
      </c>
      <c r="F25" s="538" t="s">
        <v>1607</v>
      </c>
    </row>
    <row r="26" spans="1:6" s="537" customFormat="1" x14ac:dyDescent="0.25">
      <c r="A26" s="550" t="str">
        <f t="shared" si="1"/>
        <v>03-C-021</v>
      </c>
      <c r="B26" s="787" t="str">
        <f t="shared" ca="1" si="0"/>
        <v>During the knockout phase, the result that is reached after the possible extra time, including the injury time, will be used.</v>
      </c>
      <c r="C26" s="537" t="s">
        <v>640</v>
      </c>
      <c r="D26" s="537" t="s">
        <v>884</v>
      </c>
      <c r="E26" s="537" t="s">
        <v>1287</v>
      </c>
      <c r="F26" s="537" t="s">
        <v>1851</v>
      </c>
    </row>
    <row r="27" spans="1:6" s="538" customFormat="1" x14ac:dyDescent="0.25">
      <c r="A27" s="549" t="str">
        <f t="shared" si="1"/>
        <v>03-C-022</v>
      </c>
      <c r="B27" s="788" t="str">
        <f t="shared" ca="1" si="0"/>
        <v>A draw in the knockout phase is therefore also possible.</v>
      </c>
      <c r="C27" s="538" t="s">
        <v>641</v>
      </c>
      <c r="D27" s="538" t="s">
        <v>878</v>
      </c>
      <c r="E27" s="538" t="s">
        <v>1288</v>
      </c>
      <c r="F27" s="538" t="s">
        <v>1608</v>
      </c>
    </row>
    <row r="28" spans="1:6" s="537" customFormat="1" x14ac:dyDescent="0.25">
      <c r="A28" s="550" t="str">
        <f t="shared" si="1"/>
        <v>03-C-023</v>
      </c>
      <c r="B28" s="787" t="str">
        <f t="shared" ca="1" si="0"/>
        <v>In all cases for which these regulations do not provide the organiser will make the final decision.</v>
      </c>
      <c r="C28" s="537" t="s">
        <v>30</v>
      </c>
      <c r="D28" s="537" t="s">
        <v>642</v>
      </c>
      <c r="E28" s="537" t="s">
        <v>1289</v>
      </c>
      <c r="F28" s="537" t="s">
        <v>1609</v>
      </c>
    </row>
    <row r="29" spans="1:6" s="538" customFormat="1" x14ac:dyDescent="0.25">
      <c r="A29" s="549" t="str">
        <f t="shared" si="1"/>
        <v>03-C-024</v>
      </c>
      <c r="B29" s="788" t="str">
        <f t="shared" ca="1" si="0"/>
        <v>By submitting the participation form you agree to these competition rules.</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January</v>
      </c>
      <c r="C35" s="538" t="s">
        <v>51</v>
      </c>
      <c r="D35" s="538" t="s">
        <v>645</v>
      </c>
      <c r="E35" s="538" t="s">
        <v>1291</v>
      </c>
      <c r="F35" s="538" t="s">
        <v>1611</v>
      </c>
    </row>
    <row r="36" spans="1:6" s="537" customFormat="1" x14ac:dyDescent="0.25">
      <c r="A36" s="550" t="str">
        <f t="shared" si="1"/>
        <v>03-C-031</v>
      </c>
      <c r="B36" s="787" t="str">
        <f t="shared" ca="1" si="2"/>
        <v>February</v>
      </c>
      <c r="C36" s="537" t="s">
        <v>52</v>
      </c>
      <c r="D36" s="537" t="s">
        <v>646</v>
      </c>
      <c r="E36" s="537" t="s">
        <v>1292</v>
      </c>
      <c r="F36" s="537" t="s">
        <v>1612</v>
      </c>
    </row>
    <row r="37" spans="1:6" s="538" customFormat="1" x14ac:dyDescent="0.25">
      <c r="A37" s="549" t="str">
        <f t="shared" si="1"/>
        <v>03-C-032</v>
      </c>
      <c r="B37" s="788" t="str">
        <f t="shared" ca="1" si="2"/>
        <v>March</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May</v>
      </c>
      <c r="C39" s="538" t="s">
        <v>50</v>
      </c>
      <c r="D39" s="538" t="s">
        <v>649</v>
      </c>
      <c r="E39" s="538" t="s">
        <v>1294</v>
      </c>
      <c r="F39" s="538" t="s">
        <v>1614</v>
      </c>
    </row>
    <row r="40" spans="1:6" s="537" customFormat="1" x14ac:dyDescent="0.25">
      <c r="A40" s="550" t="str">
        <f t="shared" si="1"/>
        <v>03-C-035</v>
      </c>
      <c r="B40" s="787" t="str">
        <f t="shared" ca="1" si="2"/>
        <v>June</v>
      </c>
      <c r="C40" s="537" t="s">
        <v>55</v>
      </c>
      <c r="D40" s="537" t="s">
        <v>650</v>
      </c>
      <c r="E40" s="537" t="s">
        <v>1295</v>
      </c>
      <c r="F40" s="537" t="s">
        <v>1295</v>
      </c>
    </row>
    <row r="41" spans="1:6" s="538" customFormat="1" x14ac:dyDescent="0.25">
      <c r="A41" s="549" t="str">
        <f t="shared" si="1"/>
        <v>03-C-036</v>
      </c>
      <c r="B41" s="788" t="str">
        <f t="shared" ca="1" si="2"/>
        <v>July</v>
      </c>
      <c r="C41" s="538" t="s">
        <v>56</v>
      </c>
      <c r="D41" s="538" t="s">
        <v>651</v>
      </c>
      <c r="E41" s="538" t="s">
        <v>1296</v>
      </c>
      <c r="F41" s="538" t="s">
        <v>1296</v>
      </c>
    </row>
    <row r="42" spans="1:6" s="537" customFormat="1" x14ac:dyDescent="0.25">
      <c r="A42" s="550" t="str">
        <f t="shared" si="1"/>
        <v>03-C-037</v>
      </c>
      <c r="B42" s="787" t="str">
        <f t="shared" ca="1" si="2"/>
        <v>August</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October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The Score</v>
      </c>
      <c r="C49" s="563" t="s">
        <v>71</v>
      </c>
      <c r="D49" s="563" t="s">
        <v>657</v>
      </c>
      <c r="E49" s="563" t="s">
        <v>1299</v>
      </c>
      <c r="F49" s="563" t="s">
        <v>1616</v>
      </c>
    </row>
    <row r="50" spans="1:6" s="537" customFormat="1" x14ac:dyDescent="0.25">
      <c r="A50" s="550" t="str">
        <f t="shared" si="1"/>
        <v>03-C-045</v>
      </c>
      <c r="B50" s="787" t="str">
        <f ca="1">TRIM(INDIRECT(CHAR(64+$C$2)&amp;ROW()))</f>
        <v>Point</v>
      </c>
      <c r="C50" s="537" t="s">
        <v>663</v>
      </c>
      <c r="D50" s="537" t="s">
        <v>664</v>
      </c>
      <c r="E50" s="537" t="s">
        <v>1300</v>
      </c>
      <c r="F50" s="537" t="s">
        <v>1300</v>
      </c>
    </row>
    <row r="51" spans="1:6" s="538" customFormat="1" x14ac:dyDescent="0.25">
      <c r="A51" s="549" t="str">
        <f t="shared" si="1"/>
        <v>03-C-046</v>
      </c>
      <c r="B51" s="788" t="str">
        <f ca="1">TRIM(INDIRECT(CHAR(64+$C$2)&amp;ROW()))</f>
        <v>Points</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Predicting the countries in the knockout phase</v>
      </c>
      <c r="C54" s="569" t="s">
        <v>666</v>
      </c>
      <c r="D54" s="569" t="s">
        <v>879</v>
      </c>
      <c r="E54" s="569" t="s">
        <v>1302</v>
      </c>
      <c r="F54" s="569" t="s">
        <v>1618</v>
      </c>
    </row>
    <row r="55" spans="1:6" s="538" customFormat="1" x14ac:dyDescent="0.25">
      <c r="A55" s="549" t="str">
        <f t="shared" si="1"/>
        <v>03-C-050</v>
      </c>
      <c r="B55" s="788" t="str">
        <f t="shared" ca="1" si="3"/>
        <v>the country does not have to be in the right position</v>
      </c>
      <c r="C55" s="538" t="s">
        <v>669</v>
      </c>
      <c r="D55" s="538" t="s">
        <v>668</v>
      </c>
      <c r="E55" s="538" t="s">
        <v>1303</v>
      </c>
      <c r="F55" s="538" t="s">
        <v>1619</v>
      </c>
    </row>
    <row r="56" spans="1:6" s="537" customFormat="1" x14ac:dyDescent="0.25">
      <c r="A56" s="550" t="str">
        <f t="shared" si="1"/>
        <v>03-C-051</v>
      </c>
      <c r="B56" s="787" t="str">
        <f t="shared" ca="1" si="3"/>
        <v>the country must be in the right position</v>
      </c>
      <c r="C56" s="537" t="s">
        <v>670</v>
      </c>
      <c r="D56" s="537" t="s">
        <v>667</v>
      </c>
      <c r="E56" s="537" t="s">
        <v>1304</v>
      </c>
      <c r="F56" s="537" t="s">
        <v>1620</v>
      </c>
    </row>
    <row r="57" spans="1:6" s="538" customFormat="1" x14ac:dyDescent="0.25">
      <c r="A57" s="549" t="str">
        <f t="shared" si="1"/>
        <v>03-C-052</v>
      </c>
      <c r="B57" s="788" t="str">
        <f t="shared" ca="1" si="3"/>
        <v>for correctly predicting the winner of the Europen Championship</v>
      </c>
      <c r="C57" s="538" t="s">
        <v>2323</v>
      </c>
      <c r="D57" s="538" t="s">
        <v>2324</v>
      </c>
      <c r="E57" s="538" t="s">
        <v>2325</v>
      </c>
      <c r="F57" s="538" t="s">
        <v>2326</v>
      </c>
    </row>
    <row r="58" spans="1:6" s="537" customFormat="1" x14ac:dyDescent="0.25">
      <c r="A58" s="550" t="str">
        <f t="shared" si="1"/>
        <v>03-C-053</v>
      </c>
      <c r="B58" s="787" t="str">
        <f t="shared" ca="1" si="3"/>
        <v>for every correctly predicted country in the final</v>
      </c>
      <c r="C58" s="537" t="s">
        <v>671</v>
      </c>
      <c r="D58" s="537" t="s">
        <v>1187</v>
      </c>
      <c r="E58" s="537" t="s">
        <v>1305</v>
      </c>
      <c r="F58" s="537" t="s">
        <v>1621</v>
      </c>
    </row>
    <row r="59" spans="1:6" s="538" customFormat="1" x14ac:dyDescent="0.25">
      <c r="A59" s="549" t="str">
        <f t="shared" si="1"/>
        <v>03-C-054</v>
      </c>
      <c r="B59" s="788" t="str">
        <f t="shared" ca="1" si="3"/>
        <v>for every correctly predicted country in the consolation final</v>
      </c>
      <c r="C59" s="538" t="s">
        <v>672</v>
      </c>
      <c r="D59" s="538" t="s">
        <v>1188</v>
      </c>
      <c r="E59" s="538" t="s">
        <v>1306</v>
      </c>
      <c r="F59" s="538" t="s">
        <v>1622</v>
      </c>
    </row>
    <row r="60" spans="1:6" s="537" customFormat="1" x14ac:dyDescent="0.25">
      <c r="A60" s="550" t="str">
        <f t="shared" si="1"/>
        <v>03-C-055</v>
      </c>
      <c r="B60" s="787" t="str">
        <f t="shared" ca="1" si="3"/>
        <v>for every correctly predicted country in the semi-finals</v>
      </c>
      <c r="C60" s="537" t="s">
        <v>673</v>
      </c>
      <c r="D60" s="537" t="s">
        <v>1189</v>
      </c>
      <c r="E60" s="537" t="s">
        <v>1307</v>
      </c>
      <c r="F60" s="537" t="s">
        <v>1623</v>
      </c>
    </row>
    <row r="61" spans="1:6" s="538" customFormat="1" x14ac:dyDescent="0.25">
      <c r="A61" s="549" t="str">
        <f t="shared" si="1"/>
        <v>03-C-056</v>
      </c>
      <c r="B61" s="788" t="str">
        <f t="shared" ca="1" si="3"/>
        <v>for every correctly predicted country in the quarterfinals</v>
      </c>
      <c r="C61" s="538" t="s">
        <v>674</v>
      </c>
      <c r="D61" s="538" t="s">
        <v>1190</v>
      </c>
      <c r="E61" s="538" t="s">
        <v>1308</v>
      </c>
      <c r="F61" s="538" t="s">
        <v>1624</v>
      </c>
    </row>
    <row r="62" spans="1:6" s="537" customFormat="1" x14ac:dyDescent="0.25">
      <c r="A62" s="550" t="str">
        <f t="shared" si="1"/>
        <v>03-C-057</v>
      </c>
      <c r="B62" s="787" t="str">
        <f t="shared" ca="1" si="3"/>
        <v>for every correctly predicted country in the round of 16</v>
      </c>
      <c r="C62" s="537" t="s">
        <v>675</v>
      </c>
      <c r="D62" s="537" t="s">
        <v>1191</v>
      </c>
      <c r="E62" s="537" t="s">
        <v>1309</v>
      </c>
      <c r="F62" s="537" t="s">
        <v>1625</v>
      </c>
    </row>
    <row r="63" spans="1:6" s="538" customFormat="1" x14ac:dyDescent="0.25">
      <c r="A63" s="549" t="str">
        <f t="shared" si="1"/>
        <v>03-C-058</v>
      </c>
      <c r="B63" s="788" t="str">
        <f t="shared" ca="1" si="3"/>
        <v>If you have not predicted the country in the correctly position but it has achieved the same knockout round,</v>
      </c>
      <c r="C63" s="538" t="s">
        <v>678</v>
      </c>
      <c r="D63" s="538" t="s">
        <v>1192</v>
      </c>
      <c r="E63" s="538" t="s">
        <v>1310</v>
      </c>
      <c r="F63" s="538" t="s">
        <v>1626</v>
      </c>
    </row>
    <row r="64" spans="1:6" s="537" customFormat="1" x14ac:dyDescent="0.25">
      <c r="A64" s="550" t="str">
        <f t="shared" si="1"/>
        <v>03-C-059</v>
      </c>
      <c r="B64" s="787" t="str">
        <f t="shared" ca="1" si="3"/>
        <v>you will still receive half of the points for correctly predicting the country.</v>
      </c>
      <c r="C64" s="537" t="s">
        <v>676</v>
      </c>
      <c r="D64" s="537" t="s">
        <v>1193</v>
      </c>
      <c r="E64" s="537" t="s">
        <v>1311</v>
      </c>
      <c r="F64" s="537" t="s">
        <v>1627</v>
      </c>
    </row>
    <row r="65" spans="1:6" s="538" customFormat="1" x14ac:dyDescent="0.25">
      <c r="A65" s="549" t="str">
        <f t="shared" si="1"/>
        <v>03-C-060</v>
      </c>
      <c r="B65" s="788" t="str">
        <f t="shared" ca="1" si="3"/>
        <v>you will receive the full points for correctly predicting the country.</v>
      </c>
      <c r="C65" s="538" t="s">
        <v>677</v>
      </c>
      <c r="D65" s="538" t="s">
        <v>1194</v>
      </c>
      <c r="E65" s="538" t="s">
        <v>1312</v>
      </c>
      <c r="F65" s="538" t="s">
        <v>1628</v>
      </c>
    </row>
    <row r="66" spans="1:6" s="537" customFormat="1" ht="15" customHeight="1" x14ac:dyDescent="0.25">
      <c r="A66" s="550" t="str">
        <f t="shared" si="1"/>
        <v>03-C-061</v>
      </c>
      <c r="B66" s="787" t="str">
        <f t="shared" ca="1" si="3"/>
        <v>It is not allowed to predict a country multiple times in one knockout round.</v>
      </c>
      <c r="C66" s="537" t="s">
        <v>680</v>
      </c>
      <c r="D66" s="537" t="s">
        <v>1195</v>
      </c>
      <c r="E66" s="537" t="s">
        <v>1313</v>
      </c>
      <c r="F66" s="537" t="s">
        <v>1629</v>
      </c>
    </row>
    <row r="67" spans="1:6" s="538" customFormat="1" x14ac:dyDescent="0.25">
      <c r="A67" s="549" t="str">
        <f t="shared" si="1"/>
        <v>03-C-062</v>
      </c>
      <c r="B67" s="788" t="str">
        <f t="shared" ca="1" si="3"/>
        <v>It is allowed to predict a country multiple times in one knockout round.</v>
      </c>
      <c r="C67" s="538" t="s">
        <v>679</v>
      </c>
      <c r="D67" s="538" t="s">
        <v>1196</v>
      </c>
      <c r="E67" s="538" t="s">
        <v>1314</v>
      </c>
      <c r="F67" s="538" t="s">
        <v>1630</v>
      </c>
    </row>
    <row r="68" spans="1:6" s="537" customFormat="1" x14ac:dyDescent="0.25">
      <c r="A68" s="550" t="str">
        <f t="shared" si="1"/>
        <v>03-C-063</v>
      </c>
      <c r="B68" s="787" t="str">
        <f t="shared" ca="1" si="3"/>
        <v>Points for correctly predicting a country in the knockout phase are added when the result of the match</v>
      </c>
      <c r="C68" s="537" t="s">
        <v>683</v>
      </c>
      <c r="D68" s="537" t="s">
        <v>1197</v>
      </c>
      <c r="E68" s="537" t="s">
        <v>1315</v>
      </c>
      <c r="F68" s="537" t="s">
        <v>1631</v>
      </c>
    </row>
    <row r="69" spans="1:6" s="538" customFormat="1" x14ac:dyDescent="0.25">
      <c r="A69" s="549" t="str">
        <f t="shared" si="1"/>
        <v>03-C-064</v>
      </c>
      <c r="B69" s="788" t="str">
        <f t="shared" ca="1" si="3"/>
        <v>in question is known.</v>
      </c>
      <c r="C69" s="538" t="s">
        <v>681</v>
      </c>
      <c r="D69" s="538" t="s">
        <v>1198</v>
      </c>
      <c r="E69" s="538" t="s">
        <v>1316</v>
      </c>
      <c r="F69" s="538" t="s">
        <v>1632</v>
      </c>
    </row>
    <row r="70" spans="1:6" s="537" customFormat="1" x14ac:dyDescent="0.25">
      <c r="A70" s="550" t="str">
        <f t="shared" si="1"/>
        <v>03-C-065</v>
      </c>
      <c r="B70" s="787" t="str">
        <f t="shared" ca="1" si="3"/>
        <v>is known or when the predicted country has played its match.</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Predicting the final ranking of the countries in the group stage</v>
      </c>
      <c r="C73" s="571" t="s">
        <v>685</v>
      </c>
      <c r="D73" s="571" t="s">
        <v>1145</v>
      </c>
      <c r="E73" s="571" t="s">
        <v>1318</v>
      </c>
      <c r="F73" s="571" t="s">
        <v>1634</v>
      </c>
    </row>
    <row r="74" spans="1:6" s="537" customFormat="1" x14ac:dyDescent="0.25">
      <c r="A74" s="550" t="str">
        <f t="shared" si="1"/>
        <v>03-C-069</v>
      </c>
      <c r="B74" s="787" t="str">
        <f ca="1">TRIM(INDIRECT(CHAR(64+$C$2)&amp;ROW()))</f>
        <v>points for correctly predicting the position of the countries in each group after the group stage.</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Each country may only be entered once when predicting the final ranking in the group.</v>
      </c>
      <c r="C75" s="538" t="s">
        <v>687</v>
      </c>
      <c r="D75" s="538" t="s">
        <v>895</v>
      </c>
      <c r="E75" s="538" t="s">
        <v>1320</v>
      </c>
      <c r="F75" s="538" t="s">
        <v>1636</v>
      </c>
    </row>
    <row r="76" spans="1:6" s="537" customFormat="1" x14ac:dyDescent="0.25">
      <c r="A76" s="550" t="str">
        <f t="shared" si="4"/>
        <v>03-C-071</v>
      </c>
      <c r="B76" s="787" t="str">
        <f ca="1">TRIM(INDIRECT(CHAR(64+$C$2)&amp;ROW()))</f>
        <v>The points for each correct prediction are only added when the last match of the group has been played.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Predicting the TOTO</v>
      </c>
      <c r="C79" s="571" t="s">
        <v>689</v>
      </c>
      <c r="D79" s="571" t="s">
        <v>691</v>
      </c>
      <c r="E79" s="571" t="s">
        <v>1322</v>
      </c>
      <c r="F79" s="571" t="s">
        <v>1638</v>
      </c>
    </row>
    <row r="80" spans="1:6" s="537" customFormat="1" x14ac:dyDescent="0.25">
      <c r="A80" s="550" t="str">
        <f t="shared" si="4"/>
        <v>03-C-075</v>
      </c>
      <c r="B80" s="787" t="str">
        <f t="shared" ca="1" si="5"/>
        <v>for correctly predicting the TOTO (win / loss or draw).</v>
      </c>
      <c r="C80" s="537" t="s">
        <v>690</v>
      </c>
      <c r="D80" s="537" t="s">
        <v>692</v>
      </c>
      <c r="E80" s="537" t="s">
        <v>1323</v>
      </c>
      <c r="F80" s="537" t="s">
        <v>1639</v>
      </c>
    </row>
    <row r="81" spans="1:6" s="538" customFormat="1" x14ac:dyDescent="0.25">
      <c r="A81" s="549" t="str">
        <f t="shared" si="4"/>
        <v>03-C-076</v>
      </c>
      <c r="B81" s="788" t="str">
        <f t="shared" ca="1" si="5"/>
        <v>In the knockout phase, it is not necessary to have correctly predicted the countries to claim points for</v>
      </c>
      <c r="C81" s="538" t="s">
        <v>1926</v>
      </c>
      <c r="D81" s="538" t="s">
        <v>880</v>
      </c>
      <c r="E81" s="538" t="s">
        <v>1324</v>
      </c>
      <c r="F81" s="538" t="s">
        <v>1640</v>
      </c>
    </row>
    <row r="82" spans="1:6" s="537" customFormat="1" x14ac:dyDescent="0.25">
      <c r="A82" s="550" t="str">
        <f t="shared" si="4"/>
        <v>03-C-077</v>
      </c>
      <c r="B82" s="787" t="str">
        <f t="shared" ca="1" si="5"/>
        <v>In the knockout phase, one or both countries must have been correctly predicted in order to claim points for</v>
      </c>
      <c r="C82" s="537" t="s">
        <v>1927</v>
      </c>
      <c r="D82" s="537" t="s">
        <v>881</v>
      </c>
      <c r="E82" s="537" t="s">
        <v>1325</v>
      </c>
      <c r="F82" s="537" t="s">
        <v>1641</v>
      </c>
    </row>
    <row r="83" spans="1:6" s="538" customFormat="1" x14ac:dyDescent="0.25">
      <c r="A83" s="549" t="str">
        <f t="shared" si="4"/>
        <v>03-C-078</v>
      </c>
      <c r="B83" s="788" t="str">
        <f t="shared" ca="1" si="5"/>
        <v>In the knockout phase, both countries must have been correctly predicted in order to claim points for</v>
      </c>
      <c r="C83" s="538" t="s">
        <v>1928</v>
      </c>
      <c r="D83" s="538" t="s">
        <v>882</v>
      </c>
      <c r="E83" s="538" t="s">
        <v>1326</v>
      </c>
      <c r="F83" s="538" t="s">
        <v>1642</v>
      </c>
    </row>
    <row r="84" spans="1:6" s="537" customFormat="1" x14ac:dyDescent="0.25">
      <c r="A84" s="550" t="str">
        <f t="shared" si="4"/>
        <v>03-C-079</v>
      </c>
      <c r="B84" s="787" t="str">
        <f t="shared" ca="1" si="5"/>
        <v>predicting the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Predicting the match result</v>
      </c>
      <c r="C87" s="571" t="s">
        <v>688</v>
      </c>
      <c r="D87" s="571" t="s">
        <v>694</v>
      </c>
      <c r="E87" s="571" t="s">
        <v>1328</v>
      </c>
      <c r="F87" s="571" t="s">
        <v>1644</v>
      </c>
    </row>
    <row r="88" spans="1:6" s="537" customFormat="1" x14ac:dyDescent="0.25">
      <c r="A88" s="550" t="str">
        <f t="shared" si="4"/>
        <v>03-C-083</v>
      </c>
      <c r="B88" s="787" t="str">
        <f t="shared" ca="1" si="6"/>
        <v>for correctly predicting the number of goals scored per team.</v>
      </c>
      <c r="C88" s="537" t="s">
        <v>695</v>
      </c>
      <c r="D88" s="537" t="s">
        <v>696</v>
      </c>
      <c r="E88" s="537" t="s">
        <v>1329</v>
      </c>
      <c r="F88" s="537" t="s">
        <v>1645</v>
      </c>
    </row>
    <row r="89" spans="1:6" s="538" customFormat="1" x14ac:dyDescent="0.25">
      <c r="A89" s="549" t="str">
        <f t="shared" si="4"/>
        <v>03-C-084</v>
      </c>
      <c r="B89" s="788" t="str">
        <f t="shared" ca="1" si="6"/>
        <v>for correctly predicting the number of goals scored per team, provided that you have correctly predicted</v>
      </c>
      <c r="C89" s="538" t="s">
        <v>1911</v>
      </c>
      <c r="D89" s="538" t="s">
        <v>698</v>
      </c>
      <c r="E89" s="538" t="s">
        <v>1330</v>
      </c>
      <c r="F89" s="538" t="s">
        <v>1646</v>
      </c>
    </row>
    <row r="90" spans="1:6" s="537" customFormat="1" x14ac:dyDescent="0.25">
      <c r="A90" s="550" t="str">
        <f t="shared" si="4"/>
        <v>03-C-085</v>
      </c>
      <c r="B90" s="787" t="str">
        <f t="shared" ca="1" si="6"/>
        <v>the TOTO.</v>
      </c>
      <c r="C90" s="537" t="s">
        <v>1912</v>
      </c>
      <c r="D90" s="537" t="s">
        <v>697</v>
      </c>
      <c r="E90" s="537" t="s">
        <v>1331</v>
      </c>
      <c r="F90" s="537" t="s">
        <v>1647</v>
      </c>
    </row>
    <row r="91" spans="1:6" s="538" customFormat="1" x14ac:dyDescent="0.25">
      <c r="A91" s="549" t="str">
        <f t="shared" si="4"/>
        <v>03-C-086</v>
      </c>
      <c r="B91" s="788" t="str">
        <f t="shared" ca="1" si="6"/>
        <v>deduction for each goal that the prediction deviates from the result.</v>
      </c>
      <c r="C91" s="538" t="s">
        <v>699</v>
      </c>
      <c r="D91" s="538" t="s">
        <v>700</v>
      </c>
      <c r="E91" s="538" t="s">
        <v>1332</v>
      </c>
      <c r="F91" s="538" t="s">
        <v>1648</v>
      </c>
    </row>
    <row r="92" spans="1:6" s="537" customFormat="1" x14ac:dyDescent="0.25">
      <c r="A92" s="550" t="str">
        <f t="shared" si="4"/>
        <v>03-C-087</v>
      </c>
      <c r="B92" s="787" t="str">
        <f t="shared" ca="1" si="6"/>
        <v>deduction for each goal that the prediction deviates from the result (from the correctly predicted country).</v>
      </c>
      <c r="C92" s="537" t="s">
        <v>706</v>
      </c>
      <c r="D92" s="537" t="s">
        <v>705</v>
      </c>
      <c r="E92" s="537" t="s">
        <v>1333</v>
      </c>
      <c r="F92" s="537" t="s">
        <v>1649</v>
      </c>
    </row>
    <row r="93" spans="1:6" s="538" customFormat="1" x14ac:dyDescent="0.25">
      <c r="A93" s="549" t="str">
        <f t="shared" si="4"/>
        <v>03-C-088</v>
      </c>
      <c r="B93" s="788" t="str">
        <f t="shared" ca="1" si="6"/>
        <v>You receive standard ### $$$ for each country during the group matches, provided the TOTO is correct.</v>
      </c>
      <c r="C93" s="538" t="s">
        <v>1004</v>
      </c>
      <c r="D93" s="538" t="s">
        <v>1016</v>
      </c>
      <c r="E93" s="538" t="s">
        <v>1334</v>
      </c>
      <c r="F93" s="538" t="s">
        <v>1650</v>
      </c>
    </row>
    <row r="94" spans="1:6" s="537" customFormat="1" x14ac:dyDescent="0.25">
      <c r="A94" s="550" t="str">
        <f t="shared" si="4"/>
        <v>03-C-089</v>
      </c>
      <c r="B94" s="787" t="str">
        <f t="shared" ca="1" si="6"/>
        <v>You receive standard ### $$$ for each country during the group matches.</v>
      </c>
      <c r="C94" s="537" t="s">
        <v>1005</v>
      </c>
      <c r="D94" s="537" t="s">
        <v>1017</v>
      </c>
      <c r="E94" s="537" t="s">
        <v>1335</v>
      </c>
      <c r="F94" s="537" t="s">
        <v>1651</v>
      </c>
    </row>
    <row r="95" spans="1:6" s="538" customFormat="1" x14ac:dyDescent="0.25">
      <c r="A95" s="549" t="str">
        <f t="shared" si="4"/>
        <v>03-C-090</v>
      </c>
      <c r="B95" s="788" t="str">
        <f t="shared" ca="1" si="6"/>
        <v>You receive standard ### $$$ per group match provided the TOTO is correct.</v>
      </c>
      <c r="C95" s="538" t="s">
        <v>1006</v>
      </c>
      <c r="D95" s="538" t="s">
        <v>1018</v>
      </c>
      <c r="E95" s="538" t="s">
        <v>1336</v>
      </c>
      <c r="F95" s="538" t="s">
        <v>1652</v>
      </c>
    </row>
    <row r="96" spans="1:6" s="537" customFormat="1" x14ac:dyDescent="0.25">
      <c r="A96" s="550" t="str">
        <f t="shared" si="4"/>
        <v>03-C-091</v>
      </c>
      <c r="B96" s="787" t="str">
        <f t="shared" ca="1" si="6"/>
        <v>You receive standard ### $$$ per group match.</v>
      </c>
      <c r="C96" s="537" t="s">
        <v>1007</v>
      </c>
      <c r="D96" s="537" t="s">
        <v>1019</v>
      </c>
      <c r="E96" s="537" t="s">
        <v>1337</v>
      </c>
      <c r="F96" s="537" t="s">
        <v>1653</v>
      </c>
    </row>
    <row r="97" spans="1:6" s="538" customFormat="1" x14ac:dyDescent="0.25">
      <c r="A97" s="549" t="str">
        <f t="shared" si="4"/>
        <v>03-C-092</v>
      </c>
      <c r="B97" s="788" t="str">
        <f t="shared" ca="1" si="6"/>
        <v>You receive standard ### $$$ per finals provided that the TOTO is predicted correctly.</v>
      </c>
      <c r="C97" s="538" t="s">
        <v>1008</v>
      </c>
      <c r="D97" s="538" t="s">
        <v>1020</v>
      </c>
      <c r="E97" s="538" t="s">
        <v>1338</v>
      </c>
      <c r="F97" s="538" t="s">
        <v>1654</v>
      </c>
    </row>
    <row r="98" spans="1:6" s="537" customFormat="1" x14ac:dyDescent="0.25">
      <c r="A98" s="550" t="str">
        <f t="shared" si="4"/>
        <v>03-C-093</v>
      </c>
      <c r="B98" s="787" t="str">
        <f t="shared" ca="1" si="6"/>
        <v>You receive standard ### $$$ per finals.</v>
      </c>
      <c r="C98" s="537" t="s">
        <v>1009</v>
      </c>
      <c r="D98" s="537" t="s">
        <v>1021</v>
      </c>
      <c r="E98" s="537" t="s">
        <v>1339</v>
      </c>
      <c r="F98" s="537" t="s">
        <v>1655</v>
      </c>
    </row>
    <row r="99" spans="1:6" s="538" customFormat="1" x14ac:dyDescent="0.25">
      <c r="A99" s="549" t="str">
        <f t="shared" si="4"/>
        <v>03-C-094</v>
      </c>
      <c r="B99" s="788" t="str">
        <f t="shared" ca="1" si="6"/>
        <v>You receive standard ### $$$ per finals provided that one or both countries and the TOTO is correct.</v>
      </c>
      <c r="C99" s="538" t="s">
        <v>1010</v>
      </c>
      <c r="D99" s="538" t="s">
        <v>1022</v>
      </c>
      <c r="E99" s="538" t="s">
        <v>1340</v>
      </c>
      <c r="F99" s="538" t="s">
        <v>1656</v>
      </c>
    </row>
    <row r="100" spans="1:6" s="537" customFormat="1" x14ac:dyDescent="0.25">
      <c r="A100" s="550" t="str">
        <f t="shared" si="4"/>
        <v>03-C-095</v>
      </c>
      <c r="B100" s="787" t="str">
        <f t="shared" ca="1" si="6"/>
        <v>You receive standard ### $$$ per finals provided that one or both countries are predicted correctly.</v>
      </c>
      <c r="C100" s="537" t="s">
        <v>1011</v>
      </c>
      <c r="D100" s="537" t="s">
        <v>1023</v>
      </c>
      <c r="E100" s="537" t="s">
        <v>1341</v>
      </c>
      <c r="F100" s="537" t="s">
        <v>1657</v>
      </c>
    </row>
    <row r="101" spans="1:6" s="538" customFormat="1" x14ac:dyDescent="0.25">
      <c r="A101" s="549" t="str">
        <f t="shared" si="4"/>
        <v>03-C-096</v>
      </c>
      <c r="B101" s="788" t="str">
        <f t="shared" ca="1" si="6"/>
        <v>You receive standard ### $$$ per correctly predicted country during the finals, provided the TOTO is correct.</v>
      </c>
      <c r="C101" s="538" t="s">
        <v>1012</v>
      </c>
      <c r="D101" s="538" t="s">
        <v>1024</v>
      </c>
      <c r="E101" s="538" t="s">
        <v>1342</v>
      </c>
      <c r="F101" s="538" t="s">
        <v>1658</v>
      </c>
    </row>
    <row r="102" spans="1:6" s="537" customFormat="1" x14ac:dyDescent="0.25">
      <c r="A102" s="550" t="str">
        <f t="shared" si="4"/>
        <v>03-C-097</v>
      </c>
      <c r="B102" s="787" t="str">
        <f t="shared" ca="1" si="6"/>
        <v>You receive standard ### $$$ per correctly predicted country during the finals.</v>
      </c>
      <c r="C102" s="537" t="s">
        <v>1013</v>
      </c>
      <c r="D102" s="537" t="s">
        <v>1025</v>
      </c>
      <c r="E102" s="537" t="s">
        <v>1343</v>
      </c>
      <c r="F102" s="537" t="s">
        <v>1659</v>
      </c>
    </row>
    <row r="103" spans="1:6" s="538" customFormat="1" x14ac:dyDescent="0.25">
      <c r="A103" s="549" t="str">
        <f t="shared" si="4"/>
        <v>03-C-098</v>
      </c>
      <c r="B103" s="788" t="str">
        <f t="shared" ca="1" si="6"/>
        <v>You receive standard ### $$$ per finals provided that both countries and the TOTO are predicted correctly.</v>
      </c>
      <c r="C103" s="538" t="s">
        <v>1014</v>
      </c>
      <c r="D103" s="538" t="s">
        <v>1026</v>
      </c>
      <c r="E103" s="538" t="s">
        <v>1344</v>
      </c>
      <c r="F103" s="538" t="s">
        <v>1660</v>
      </c>
    </row>
    <row r="104" spans="1:6" s="537" customFormat="1" x14ac:dyDescent="0.25">
      <c r="A104" s="550" t="str">
        <f t="shared" si="4"/>
        <v>03-C-099</v>
      </c>
      <c r="B104" s="787" t="str">
        <f t="shared" ca="1" si="6"/>
        <v>You receive standard ### $$$ per finals provided that both countries are predicted correctly.</v>
      </c>
      <c r="C104" s="537" t="s">
        <v>1015</v>
      </c>
      <c r="D104" s="537" t="s">
        <v>1027</v>
      </c>
      <c r="E104" s="537" t="s">
        <v>1345</v>
      </c>
      <c r="F104" s="537" t="s">
        <v>1661</v>
      </c>
    </row>
    <row r="105" spans="1:6" s="538" customFormat="1" x14ac:dyDescent="0.25">
      <c r="A105" s="549" t="str">
        <f t="shared" si="4"/>
        <v>03-C-100</v>
      </c>
      <c r="B105" s="788" t="str">
        <f t="shared" ca="1" si="6"/>
        <v>The deduction of points will never be more than the standard points obtained.</v>
      </c>
      <c r="C105" s="538" t="s">
        <v>701</v>
      </c>
      <c r="D105" s="538" t="s">
        <v>702</v>
      </c>
      <c r="E105" s="538" t="s">
        <v>1346</v>
      </c>
      <c r="F105" s="538" t="s">
        <v>1662</v>
      </c>
    </row>
    <row r="106" spans="1:6" s="537" customFormat="1" x14ac:dyDescent="0.25">
      <c r="A106" s="550" t="str">
        <f t="shared" si="4"/>
        <v>03-C-101</v>
      </c>
      <c r="B106" s="787" t="str">
        <f t="shared" ca="1" si="6"/>
        <v>The deduction of points per country will never be more than the standard points obtained per country.</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Predicting the TOTO and the match result</v>
      </c>
      <c r="C109" s="571" t="s">
        <v>1913</v>
      </c>
      <c r="D109" s="571" t="s">
        <v>1914</v>
      </c>
      <c r="E109" s="571" t="s">
        <v>1915</v>
      </c>
      <c r="F109" s="571" t="s">
        <v>1916</v>
      </c>
    </row>
    <row r="110" spans="1:6" s="537" customFormat="1" x14ac:dyDescent="0.25">
      <c r="A110" s="550" t="str">
        <f t="shared" si="4"/>
        <v>03-C-105</v>
      </c>
      <c r="B110" s="787" t="str">
        <f t="shared" ca="1" si="7"/>
        <v>for correctly predicting the TOTO (win / loss or draw).</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for correctly predicting the number of goals scored per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for correctly predicting the number of goals scored per team, provided that you have correctly predicted</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the TOTO.</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In the knockout phase, it is not necessary to have correctly predicted the countries to claim points for</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In the knockout phase, one or both countries must have been correctly predicted in order to claim points for</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In the knockout phase, both countries must have been correctly predicted in order to claim points for</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predichting the TOTO and/or the match result.</v>
      </c>
      <c r="C117" s="538" t="s">
        <v>1925</v>
      </c>
      <c r="D117" s="538" t="s">
        <v>1917</v>
      </c>
      <c r="E117" s="538" t="s">
        <v>1918</v>
      </c>
      <c r="F117" s="538" t="s">
        <v>1919</v>
      </c>
    </row>
    <row r="118" spans="1:6" s="537" customFormat="1" x14ac:dyDescent="0.25">
      <c r="A118" s="550" t="str">
        <f t="shared" si="4"/>
        <v>03-C-113</v>
      </c>
      <c r="B118" s="787" t="str">
        <f t="shared" ca="1" si="7"/>
        <v>predicting the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When predicting the goals, points are only awarded for the correctly predicted country during the finals.</v>
      </c>
      <c r="C119" s="538" t="s">
        <v>1920</v>
      </c>
      <c r="D119" s="538" t="s">
        <v>1921</v>
      </c>
      <c r="E119" s="538" t="s">
        <v>1922</v>
      </c>
      <c r="F119" s="538" t="s">
        <v>2172</v>
      </c>
    </row>
    <row r="120" spans="1:6" s="537" customFormat="1" x14ac:dyDescent="0.25">
      <c r="A120" s="550" t="str">
        <f t="shared" si="4"/>
        <v>03-C-115</v>
      </c>
      <c r="B120" s="787" t="str">
        <f ca="1">TRIM(INDIRECT(CHAR(64+$C$2)&amp;ROW()))</f>
        <v>predichting the match result.</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 points</v>
      </c>
      <c r="C125" s="571" t="s">
        <v>707</v>
      </c>
      <c r="D125" s="571" t="s">
        <v>708</v>
      </c>
      <c r="E125" s="571" t="s">
        <v>1348</v>
      </c>
      <c r="F125" s="571" t="s">
        <v>1664</v>
      </c>
    </row>
    <row r="126" spans="1:6" s="537" customFormat="1" x14ac:dyDescent="0.25">
      <c r="A126" s="550" t="str">
        <f t="shared" si="4"/>
        <v>03-C-121</v>
      </c>
      <c r="B126" s="787" t="str">
        <f t="shared" ca="1" si="10"/>
        <v>Bonus $$$ for every knockout match where both countries are predicted in the right position.</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 for every knockout match where both the TOTO and the two countries are correctly predicted.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 for each group match where the result is correctly predicted.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 for each group and final match where the result is correctly predicted.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 for each group and final match where the result is correctly predicted</v>
      </c>
      <c r="C134" s="537" t="s">
        <v>1938</v>
      </c>
      <c r="D134" s="537" t="s">
        <v>1939</v>
      </c>
      <c r="E134" s="537" t="s">
        <v>1940</v>
      </c>
      <c r="F134" s="537" t="s">
        <v>1941</v>
      </c>
    </row>
    <row r="135" spans="1:6" s="538" customFormat="1" x14ac:dyDescent="0.25">
      <c r="A135" s="549" t="str">
        <f t="shared" si="4"/>
        <v>03-C-130</v>
      </c>
      <c r="B135" s="788" t="str">
        <f t="shared" ca="1" si="10"/>
        <v>(in the knockout phase, one or both countries must also have been correctly predicted).</v>
      </c>
      <c r="C135" s="538" t="s">
        <v>1942</v>
      </c>
      <c r="D135" s="538" t="s">
        <v>1943</v>
      </c>
      <c r="E135" s="538" t="s">
        <v>1944</v>
      </c>
      <c r="F135" s="538" t="s">
        <v>1945</v>
      </c>
    </row>
    <row r="136" spans="1:6" s="537" customFormat="1" x14ac:dyDescent="0.25">
      <c r="A136" s="550" t="str">
        <f t="shared" si="4"/>
        <v>03-C-131</v>
      </c>
      <c r="B136" s="787" t="str">
        <f t="shared" ca="1" si="10"/>
        <v>Bonus $$$ for each group and final match where the result is correctly predicted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(in the knockout phase, both countries must also have been correctly predicted).</v>
      </c>
      <c r="C137" s="538" t="s">
        <v>716</v>
      </c>
      <c r="D137" s="538" t="s">
        <v>883</v>
      </c>
      <c r="E137" s="538" t="s">
        <v>1350</v>
      </c>
      <c r="F137" s="538" t="s">
        <v>1667</v>
      </c>
    </row>
    <row r="138" spans="1:6" s="537" customFormat="1" x14ac:dyDescent="0.25">
      <c r="A138" s="550" t="str">
        <f t="shared" si="4"/>
        <v>03-C-133</v>
      </c>
      <c r="B138" s="787" t="str">
        <f t="shared" ca="1" si="10"/>
        <v>Bonus $$$ for every group match where the goal difference between the two teams is correctly predicted.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 for every group and final match where the goal difference between the two teams is correctly</v>
      </c>
      <c r="C140" s="537" t="s">
        <v>2016</v>
      </c>
      <c r="D140" s="537" t="s">
        <v>1957</v>
      </c>
      <c r="E140" s="537" t="s">
        <v>1958</v>
      </c>
      <c r="F140" s="537" t="s">
        <v>1949</v>
      </c>
    </row>
    <row r="141" spans="1:6" s="538" customFormat="1" x14ac:dyDescent="0.25">
      <c r="A141" s="549" t="str">
        <f t="shared" si="4"/>
        <v>03-C-136</v>
      </c>
      <c r="B141" s="788" t="str">
        <f t="shared" ca="1" si="10"/>
        <v>predicted.</v>
      </c>
      <c r="D141" s="538" t="s">
        <v>1959</v>
      </c>
      <c r="E141" s="538" t="s">
        <v>1960</v>
      </c>
    </row>
    <row r="142" spans="1:6" s="537" customFormat="1" x14ac:dyDescent="0.25">
      <c r="A142" s="550" t="str">
        <f t="shared" si="4"/>
        <v>03-C-137</v>
      </c>
      <c r="B142" s="787" t="str">
        <f t="shared" ca="1" si="10"/>
        <v>Bonus $$$ for every group and final match where the goal difference between the two teams is correctly</v>
      </c>
      <c r="C142" s="537" t="s">
        <v>2017</v>
      </c>
      <c r="D142" s="537" t="s">
        <v>1957</v>
      </c>
      <c r="E142" s="537" t="s">
        <v>1958</v>
      </c>
      <c r="F142" s="537" t="s">
        <v>1950</v>
      </c>
    </row>
    <row r="143" spans="1:6" s="538" customFormat="1" x14ac:dyDescent="0.25">
      <c r="A143" s="539" t="str">
        <f t="shared" si="4"/>
        <v>03-C-138</v>
      </c>
      <c r="B143" s="788" t="str">
        <f t="shared" ca="1" si="10"/>
        <v>predicted (in the knockout phase, one or both countries must also have been correctly predicted).</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 for every group and final match where the goal difference between the two teams is correctly</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predicted (in the knockout phase, both countries must also have been correctly predicted).</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 for correctly predicting all the countries in the final standings of one group.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The bonus questions</v>
      </c>
      <c r="C150" s="569" t="s">
        <v>711</v>
      </c>
      <c r="D150" s="569" t="s">
        <v>712</v>
      </c>
      <c r="E150" s="569" t="s">
        <v>1351</v>
      </c>
      <c r="F150" s="569" t="s">
        <v>1668</v>
      </c>
    </row>
    <row r="151" spans="1:6" s="538" customFormat="1" x14ac:dyDescent="0.25">
      <c r="A151" s="549" t="str">
        <f t="shared" si="4"/>
        <v>03-C-124</v>
      </c>
      <c r="B151" s="788" t="str">
        <f ca="1">TRIM(INDIRECT(CHAR(64+$C$2)&amp;ROW()))</f>
        <v>The points for correctly answering the bonus questions are shown on the worksheet with the bonus questions.</v>
      </c>
      <c r="C151" s="538" t="s">
        <v>771</v>
      </c>
      <c r="D151" s="538" t="s">
        <v>713</v>
      </c>
      <c r="E151" s="538" t="s">
        <v>1352</v>
      </c>
      <c r="F151" s="538" t="s">
        <v>1669</v>
      </c>
    </row>
    <row r="152" spans="1:6" s="537" customFormat="1" x14ac:dyDescent="0.25">
      <c r="A152" s="550" t="str">
        <f t="shared" si="4"/>
        <v>03-C-125</v>
      </c>
      <c r="B152" s="787" t="str">
        <f ca="1">TRIM(INDIRECT(CHAR(64+$C$2)&amp;ROW()))</f>
        <v>The points for correctly answering the bonus questions are shown on the page with the bonus questions.</v>
      </c>
      <c r="C152" s="537" t="s">
        <v>772</v>
      </c>
      <c r="D152" s="537" t="s">
        <v>714</v>
      </c>
      <c r="E152" s="537" t="s">
        <v>1353</v>
      </c>
      <c r="F152" s="537" t="s">
        <v>1670</v>
      </c>
    </row>
    <row r="153" spans="1:6" s="538" customFormat="1" x14ac:dyDescent="0.25">
      <c r="A153" s="549" t="str">
        <f t="shared" si="4"/>
        <v>03-C-126</v>
      </c>
      <c r="B153" s="788" t="str">
        <f ca="1">TRIM(INDIRECT(CHAR(64+$C$2)&amp;ROW()))</f>
        <v>The points for the bonus questions are added when the winner of the European Championship is known.</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In case of inconsistencies due to incorrect translation, the Dutch regulations prevail.</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The Prize Pool</v>
      </c>
      <c r="C159" s="563" t="s">
        <v>717</v>
      </c>
      <c r="D159" s="563" t="s">
        <v>718</v>
      </c>
      <c r="E159" s="563" t="s">
        <v>1355</v>
      </c>
      <c r="F159" s="563" t="s">
        <v>1561</v>
      </c>
    </row>
    <row r="160" spans="1:6" s="537" customFormat="1" x14ac:dyDescent="0.25">
      <c r="A160" s="550" t="str">
        <f t="shared" si="4"/>
        <v>03-C-133</v>
      </c>
      <c r="B160" s="787" t="str">
        <f t="shared" ca="1" si="11"/>
        <v>To participate in this pool, you are obliged to pay the buy-in.</v>
      </c>
      <c r="C160" s="537" t="s">
        <v>719</v>
      </c>
      <c r="D160" s="537" t="s">
        <v>735</v>
      </c>
      <c r="E160" s="537" t="s">
        <v>1356</v>
      </c>
      <c r="F160" s="537" t="s">
        <v>1672</v>
      </c>
    </row>
    <row r="161" spans="1:6" s="538" customFormat="1" x14ac:dyDescent="0.25">
      <c r="A161" s="549" t="str">
        <f t="shared" si="4"/>
        <v>03-C-134</v>
      </c>
      <c r="B161" s="788" t="str">
        <f t="shared" ca="1" si="11"/>
        <v>The buy-in for this pool is ###.</v>
      </c>
      <c r="C161" s="538" t="s">
        <v>757</v>
      </c>
      <c r="D161" s="538" t="s">
        <v>759</v>
      </c>
      <c r="E161" s="538" t="s">
        <v>1357</v>
      </c>
      <c r="F161" s="538" t="s">
        <v>1673</v>
      </c>
    </row>
    <row r="162" spans="1:6" s="537" customFormat="1" x14ac:dyDescent="0.25">
      <c r="A162" s="550" t="str">
        <f t="shared" si="4"/>
        <v>03-C-135</v>
      </c>
      <c r="B162" s="787" t="str">
        <f t="shared" ca="1" si="11"/>
        <v>The buy-in for participation in this pool is ###. You can also choose to participate for free.</v>
      </c>
      <c r="C162" s="537" t="s">
        <v>758</v>
      </c>
      <c r="D162" s="537" t="s">
        <v>760</v>
      </c>
      <c r="E162" s="537" t="s">
        <v>1358</v>
      </c>
      <c r="F162" s="537" t="s">
        <v>1674</v>
      </c>
    </row>
    <row r="163" spans="1:6" s="538" customFormat="1" x14ac:dyDescent="0.25">
      <c r="A163" s="549" t="str">
        <f t="shared" si="4"/>
        <v>03-C-136</v>
      </c>
      <c r="B163" s="788" t="str">
        <f t="shared" ca="1" si="11"/>
        <v>However, you cannot claim any of the prizes at the end of the tournament¹.</v>
      </c>
      <c r="C163" s="538" t="s">
        <v>733</v>
      </c>
      <c r="D163" s="538" t="s">
        <v>736</v>
      </c>
      <c r="E163" s="538" t="s">
        <v>1359</v>
      </c>
      <c r="F163" s="538" t="s">
        <v>1675</v>
      </c>
    </row>
    <row r="164" spans="1:6" s="537" customFormat="1" x14ac:dyDescent="0.25">
      <c r="A164" s="550" t="str">
        <f t="shared" si="4"/>
        <v>03-C-137</v>
      </c>
      <c r="B164" s="787" t="str">
        <f t="shared" ca="1" si="11"/>
        <v>Participation in this pool is free of charge. Therefore, no buy-in is</v>
      </c>
      <c r="C164" s="537" t="s">
        <v>721</v>
      </c>
      <c r="D164" s="537" t="s">
        <v>738</v>
      </c>
      <c r="E164" s="537" t="s">
        <v>1360</v>
      </c>
      <c r="F164" s="537" t="s">
        <v>1676</v>
      </c>
    </row>
    <row r="165" spans="1:6" s="538" customFormat="1" x14ac:dyDescent="0.25">
      <c r="A165" s="549" t="str">
        <f t="shared" si="4"/>
        <v>03-C-138</v>
      </c>
      <c r="B165" s="788" t="str">
        <f t="shared" ca="1" si="11"/>
        <v>required to claim any of the prizes at the end of the tournament.</v>
      </c>
      <c r="C165" s="538" t="s">
        <v>720</v>
      </c>
      <c r="D165" s="538" t="s">
        <v>737</v>
      </c>
      <c r="E165" s="538" t="s">
        <v>1361</v>
      </c>
      <c r="F165" s="538" t="s">
        <v>1677</v>
      </c>
    </row>
    <row r="166" spans="1:6" s="537" customFormat="1" x14ac:dyDescent="0.25">
      <c r="A166" s="550" t="str">
        <f t="shared" si="4"/>
        <v>03-C-139</v>
      </c>
      <c r="B166" s="787" t="str">
        <f t="shared" ca="1" si="11"/>
        <v xml:space="preserve">The buy-in must be paid to the organizer before the start of the tournament.
</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If this is not done on time, your participation will be declared invalid.</v>
      </c>
      <c r="C167" s="538" t="s">
        <v>786</v>
      </c>
      <c r="D167" s="538" t="s">
        <v>787</v>
      </c>
      <c r="E167" s="538" t="s">
        <v>1363</v>
      </c>
      <c r="F167" s="538" t="s">
        <v>1679</v>
      </c>
    </row>
    <row r="168" spans="1:6" s="537" customFormat="1" x14ac:dyDescent="0.25">
      <c r="A168" s="550" t="str">
        <f t="shared" si="12"/>
        <v>03-C-141</v>
      </c>
      <c r="B168" s="787" t="str">
        <f t="shared" ca="1" si="11"/>
        <v xml:space="preserve">The optional buy-in must be paid to the organizer before the start of the tournament.
</v>
      </c>
      <c r="C168" s="537" t="s">
        <v>774</v>
      </c>
      <c r="D168" s="537" t="s">
        <v>791</v>
      </c>
      <c r="E168" s="537" t="s">
        <v>1364</v>
      </c>
      <c r="F168" s="537" t="s">
        <v>1680</v>
      </c>
    </row>
    <row r="169" spans="1:6" s="538" customFormat="1" x14ac:dyDescent="0.25">
      <c r="A169" s="549" t="str">
        <f t="shared" si="12"/>
        <v>03-C-142</v>
      </c>
      <c r="B169" s="788" t="str">
        <f t="shared" ca="1" si="11"/>
        <v>If this is not done on time, you will not participate in the prize pool either.</v>
      </c>
      <c r="C169" s="538" t="s">
        <v>789</v>
      </c>
      <c r="D169" s="538" t="s">
        <v>790</v>
      </c>
      <c r="E169" s="538" t="s">
        <v>1365</v>
      </c>
      <c r="F169" s="538" t="s">
        <v>1681</v>
      </c>
    </row>
    <row r="170" spans="1:6" s="537" customFormat="1" x14ac:dyDescent="0.25">
      <c r="A170" s="550" t="str">
        <f t="shared" si="12"/>
        <v>03-C-143</v>
      </c>
      <c r="B170" s="787" t="str">
        <f t="shared" ca="1" si="11"/>
        <v>The buy-in must be paid in cash.</v>
      </c>
      <c r="C170" s="537" t="s">
        <v>780</v>
      </c>
      <c r="D170" s="537" t="s">
        <v>784</v>
      </c>
      <c r="E170" s="537" t="s">
        <v>1366</v>
      </c>
      <c r="F170" s="537" t="s">
        <v>1682</v>
      </c>
    </row>
    <row r="171" spans="1:6" s="538" customFormat="1" x14ac:dyDescent="0.25">
      <c r="A171" s="549" t="str">
        <f t="shared" si="12"/>
        <v>03-C-144</v>
      </c>
      <c r="B171" s="788" t="str">
        <f t="shared" ca="1" si="11"/>
        <v>The buy-in must be paid by bank transfer.</v>
      </c>
      <c r="C171" s="538" t="s">
        <v>778</v>
      </c>
      <c r="D171" s="538" t="s">
        <v>785</v>
      </c>
      <c r="E171" s="538" t="s">
        <v>1367</v>
      </c>
      <c r="F171" s="538" t="s">
        <v>1683</v>
      </c>
    </row>
    <row r="172" spans="1:6" s="537" customFormat="1" x14ac:dyDescent="0.25">
      <c r="A172" s="550" t="str">
        <f t="shared" si="12"/>
        <v>03-C-145</v>
      </c>
      <c r="B172" s="787" t="str">
        <f t="shared" ca="1" si="11"/>
        <v>The buy-in must be paid in cash or transferred by bank transfer.</v>
      </c>
      <c r="C172" s="537" t="s">
        <v>779</v>
      </c>
      <c r="D172" s="537" t="s">
        <v>781</v>
      </c>
      <c r="E172" s="537" t="s">
        <v>1368</v>
      </c>
      <c r="F172" s="537" t="s">
        <v>1684</v>
      </c>
    </row>
    <row r="173" spans="1:6" s="538" customFormat="1" x14ac:dyDescent="0.25">
      <c r="A173" s="549" t="str">
        <f t="shared" si="12"/>
        <v>03-C-146</v>
      </c>
      <c r="B173" s="788" t="str">
        <f t="shared" ca="1" si="11"/>
        <v>The buy-in must be paid via a payment request that the organizer will send you.</v>
      </c>
      <c r="C173" s="538" t="s">
        <v>777</v>
      </c>
      <c r="D173" s="538" t="s">
        <v>782</v>
      </c>
      <c r="E173" s="538" t="s">
        <v>1369</v>
      </c>
      <c r="F173" s="538" t="s">
        <v>1685</v>
      </c>
    </row>
    <row r="174" spans="1:6" s="537" customFormat="1" x14ac:dyDescent="0.25">
      <c r="A174" s="550" t="str">
        <f t="shared" si="12"/>
        <v>03-C-147</v>
      </c>
      <c r="B174" s="787" t="str">
        <f t="shared" ca="1" si="11"/>
        <v>The buy-in must be paid in cash or through a payment request that the organizer will send you.</v>
      </c>
      <c r="C174" s="537" t="s">
        <v>775</v>
      </c>
      <c r="D174" s="537" t="s">
        <v>783</v>
      </c>
      <c r="E174" s="537" t="s">
        <v>1370</v>
      </c>
      <c r="F174" s="537" t="s">
        <v>1686</v>
      </c>
    </row>
    <row r="175" spans="1:6" s="538" customFormat="1" x14ac:dyDescent="0.25">
      <c r="A175" s="549" t="str">
        <f t="shared" si="12"/>
        <v>03-C-148</v>
      </c>
      <c r="B175" s="788" t="str">
        <f t="shared" ca="1" si="11"/>
        <v>bank account</v>
      </c>
      <c r="C175" s="538" t="s">
        <v>396</v>
      </c>
      <c r="D175" s="538" t="s">
        <v>739</v>
      </c>
      <c r="E175" s="538" t="s">
        <v>1371</v>
      </c>
      <c r="F175" s="538" t="s">
        <v>1687</v>
      </c>
    </row>
    <row r="176" spans="1:6" s="537" customFormat="1" x14ac:dyDescent="0.25">
      <c r="A176" s="550" t="str">
        <f t="shared" si="12"/>
        <v>03-C-149</v>
      </c>
      <c r="B176" s="787" t="str">
        <f t="shared" ca="1" si="11"/>
        <v>account name</v>
      </c>
      <c r="C176" s="537" t="s">
        <v>397</v>
      </c>
      <c r="D176" s="537" t="s">
        <v>741</v>
      </c>
      <c r="E176" s="537" t="s">
        <v>1372</v>
      </c>
      <c r="F176" s="537" t="s">
        <v>1688</v>
      </c>
    </row>
    <row r="177" spans="1:6" s="538" customFormat="1" x14ac:dyDescent="0.25">
      <c r="A177" s="549" t="str">
        <f t="shared" si="12"/>
        <v>03-C-150</v>
      </c>
      <c r="B177" s="788" t="str">
        <f t="shared" ca="1" si="11"/>
        <v>payment reference</v>
      </c>
      <c r="C177" s="538" t="s">
        <v>398</v>
      </c>
      <c r="D177" s="538" t="s">
        <v>740</v>
      </c>
      <c r="E177" s="538" t="s">
        <v>1373</v>
      </c>
      <c r="F177" s="538" t="s">
        <v>1689</v>
      </c>
    </row>
    <row r="178" spans="1:6" s="537" customFormat="1" x14ac:dyDescent="0.25">
      <c r="A178" s="550" t="str">
        <f t="shared" si="12"/>
        <v>03-C-151</v>
      </c>
      <c r="B178" s="787" t="str">
        <f t="shared" ca="1" si="11"/>
        <v>### of the buy-in goes to charity ($$$).</v>
      </c>
      <c r="C178" s="537" t="s">
        <v>761</v>
      </c>
      <c r="D178" s="537" t="s">
        <v>762</v>
      </c>
      <c r="E178" s="537" t="s">
        <v>1374</v>
      </c>
      <c r="F178" s="537" t="s">
        <v>1690</v>
      </c>
    </row>
    <row r="179" spans="1:6" s="538" customFormat="1" x14ac:dyDescent="0.25">
      <c r="A179" s="549" t="str">
        <f t="shared" si="12"/>
        <v>03-C-152</v>
      </c>
      <c r="B179" s="788" t="str">
        <f t="shared" ca="1" si="11"/>
        <v>From the buy-in, ### goes to the prize pool. The remainder will go the organization of the pool.</v>
      </c>
      <c r="C179" s="538" t="s">
        <v>1176</v>
      </c>
      <c r="D179" s="538" t="s">
        <v>1177</v>
      </c>
      <c r="E179" s="538" t="s">
        <v>1375</v>
      </c>
      <c r="F179" s="538" t="s">
        <v>1691</v>
      </c>
    </row>
    <row r="180" spans="1:6" s="537" customFormat="1" x14ac:dyDescent="0.25">
      <c r="A180" s="550" t="str">
        <f t="shared" si="12"/>
        <v>03-C-153</v>
      </c>
      <c r="B180" s="787" t="str">
        <f t="shared" ca="1" si="11"/>
        <v>For each participant, the organization of the pool will put an extra ### in the prize pool.</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If several players are in the same position and are entitled to one of the prizes. Then the total</v>
      </c>
      <c r="C182" s="537" t="s">
        <v>722</v>
      </c>
      <c r="D182" s="537" t="s">
        <v>743</v>
      </c>
      <c r="E182" s="537" t="s">
        <v>1377</v>
      </c>
      <c r="F182" s="537" t="s">
        <v>1693</v>
      </c>
    </row>
    <row r="183" spans="1:6" s="538" customFormat="1" x14ac:dyDescent="0.25">
      <c r="A183" s="549" t="str">
        <f t="shared" si="12"/>
        <v>03-C-156</v>
      </c>
      <c r="B183" s="788" t="str">
        <f t="shared" ca="1" si="11"/>
        <v>sum of the prize money for the shared places will be divided among the relevant players.</v>
      </c>
      <c r="C183" s="538" t="s">
        <v>723</v>
      </c>
      <c r="D183" s="538" t="s">
        <v>742</v>
      </c>
      <c r="E183" s="538" t="s">
        <v>1378</v>
      </c>
      <c r="F183" s="538" t="s">
        <v>1694</v>
      </c>
    </row>
    <row r="184" spans="1:6" s="537" customFormat="1" x14ac:dyDescent="0.25">
      <c r="A184" s="550" t="str">
        <f t="shared" si="12"/>
        <v>03-C-157</v>
      </c>
      <c r="B184" s="787" t="str">
        <f t="shared" ca="1" si="11"/>
        <v>The distribution of the prize money is as follows:</v>
      </c>
      <c r="C184" s="537" t="s">
        <v>724</v>
      </c>
      <c r="D184" s="537" t="s">
        <v>744</v>
      </c>
      <c r="E184" s="537" t="s">
        <v>1379</v>
      </c>
      <c r="F184" s="537" t="s">
        <v>1695</v>
      </c>
    </row>
    <row r="185" spans="1:6" s="538" customFormat="1" x14ac:dyDescent="0.25">
      <c r="A185" s="549" t="str">
        <f t="shared" si="12"/>
        <v>03-C-158</v>
      </c>
      <c r="B185" s="788" t="str">
        <f t="shared" ca="1" si="11"/>
        <v>No.</v>
      </c>
      <c r="C185" s="538" t="s">
        <v>7</v>
      </c>
      <c r="D185" s="538" t="s">
        <v>745</v>
      </c>
      <c r="E185" s="538" t="s">
        <v>7</v>
      </c>
      <c r="F185" s="538" t="s">
        <v>7</v>
      </c>
    </row>
    <row r="186" spans="1:6" s="537" customFormat="1" x14ac:dyDescent="0.25">
      <c r="A186" s="550" t="str">
        <f t="shared" si="12"/>
        <v>03-C-159</v>
      </c>
      <c r="B186" s="787" t="str">
        <f t="shared" ca="1" si="11"/>
        <v>of the prize pool</v>
      </c>
      <c r="C186" s="537" t="s">
        <v>764</v>
      </c>
      <c r="D186" s="537" t="s">
        <v>763</v>
      </c>
      <c r="E186" s="537" t="s">
        <v>1380</v>
      </c>
      <c r="F186" s="537" t="s">
        <v>1696</v>
      </c>
    </row>
    <row r="187" spans="1:6" s="538" customFormat="1" x14ac:dyDescent="0.25">
      <c r="A187" s="549" t="str">
        <f t="shared" si="12"/>
        <v>03-C-160</v>
      </c>
      <c r="B187" s="788" t="str">
        <f t="shared" ca="1" si="11"/>
        <v>Also there are various consolation prizes available for those who grab next to the prizes.</v>
      </c>
      <c r="C187" s="538" t="s">
        <v>725</v>
      </c>
      <c r="D187" s="538" t="s">
        <v>749</v>
      </c>
      <c r="E187" s="538" t="s">
        <v>1381</v>
      </c>
      <c r="F187" s="538" t="s">
        <v>1697</v>
      </c>
    </row>
    <row r="188" spans="1:6" s="537" customFormat="1" x14ac:dyDescent="0.25">
      <c r="A188" s="550" t="str">
        <f t="shared" si="12"/>
        <v>03-C-161</v>
      </c>
      <c r="B188" s="787" t="str">
        <f t="shared" ca="1" si="11"/>
        <v>Also for the number ### there is a consolation prize available as consolation for grasping the prizes.</v>
      </c>
      <c r="C188" s="537" t="s">
        <v>728</v>
      </c>
      <c r="D188" s="537" t="s">
        <v>747</v>
      </c>
      <c r="E188" s="537" t="s">
        <v>1382</v>
      </c>
      <c r="F188" s="537" t="s">
        <v>1698</v>
      </c>
    </row>
    <row r="189" spans="1:6" s="538" customFormat="1" x14ac:dyDescent="0.25">
      <c r="A189" s="549" t="str">
        <f t="shared" si="12"/>
        <v>03-C-162</v>
      </c>
      <c r="B189" s="788" t="str">
        <f t="shared" ca="1" si="11"/>
        <v>Also for the no. ### and $$$ consolation prizes are available for those who just grab next to the prizes.</v>
      </c>
      <c r="C189" s="538" t="s">
        <v>726</v>
      </c>
      <c r="D189" s="538" t="s">
        <v>746</v>
      </c>
      <c r="E189" s="538" t="s">
        <v>1383</v>
      </c>
      <c r="F189" s="538" t="s">
        <v>1699</v>
      </c>
    </row>
    <row r="190" spans="1:6" s="537" customFormat="1" x14ac:dyDescent="0.25">
      <c r="A190" s="550" t="str">
        <f t="shared" si="12"/>
        <v>03-C-163</v>
      </c>
      <c r="B190" s="787" t="str">
        <f t="shared" ca="1" si="11"/>
        <v>Also there are consolation prizes available for no. ### to $$$ for those who grab just next to the prizes.</v>
      </c>
      <c r="C190" s="537" t="s">
        <v>727</v>
      </c>
      <c r="D190" s="537" t="s">
        <v>748</v>
      </c>
      <c r="E190" s="537" t="s">
        <v>1384</v>
      </c>
      <c r="F190" s="537" t="s">
        <v>1700</v>
      </c>
    </row>
    <row r="191" spans="1:6" s="538" customFormat="1" x14ac:dyDescent="0.25">
      <c r="A191" s="549" t="str">
        <f t="shared" si="12"/>
        <v>03-C-164</v>
      </c>
      <c r="B191" s="788" t="str">
        <f t="shared" ca="1" si="11"/>
        <v>In addition, there are various poodle prices available for those that end at the bottom.</v>
      </c>
      <c r="C191" s="538" t="s">
        <v>729</v>
      </c>
      <c r="D191" s="538" t="s">
        <v>750</v>
      </c>
      <c r="E191" s="538" t="s">
        <v>1385</v>
      </c>
      <c r="F191" s="538" t="s">
        <v>1701</v>
      </c>
    </row>
    <row r="192" spans="1:6" s="537" customFormat="1" x14ac:dyDescent="0.25">
      <c r="A192" s="550" t="str">
        <f t="shared" si="12"/>
        <v>03-C-165</v>
      </c>
      <c r="B192" s="787" t="str">
        <f t="shared" ca="1" si="11"/>
        <v>In addition, the lowest listed participant will receive a poodle prize afterwards.</v>
      </c>
      <c r="C192" s="537" t="s">
        <v>730</v>
      </c>
      <c r="D192" s="537" t="s">
        <v>751</v>
      </c>
      <c r="E192" s="537" t="s">
        <v>1386</v>
      </c>
      <c r="F192" s="537" t="s">
        <v>1702</v>
      </c>
    </row>
    <row r="193" spans="1:6" s="538" customFormat="1" x14ac:dyDescent="0.25">
      <c r="A193" s="549" t="str">
        <f t="shared" si="12"/>
        <v>03-C-166</v>
      </c>
      <c r="B193" s="788" t="str">
        <f t="shared" ca="1" si="11"/>
        <v>In addition, the ### lowest-rated participants will each receive a poodle prize afterwards.</v>
      </c>
      <c r="C193" s="538" t="s">
        <v>731</v>
      </c>
      <c r="D193" s="538" t="s">
        <v>752</v>
      </c>
      <c r="E193" s="538" t="s">
        <v>1387</v>
      </c>
      <c r="F193" s="538" t="s">
        <v>1703</v>
      </c>
    </row>
    <row r="194" spans="1:6" s="537" customFormat="1" x14ac:dyDescent="0.25">
      <c r="A194" s="550" t="str">
        <f t="shared" si="12"/>
        <v>03-C-167</v>
      </c>
      <c r="B194" s="787" t="str">
        <f t="shared" ca="1" si="11"/>
        <v>If a non-paying participant is eligible for one of the prizes, the prize will be passed on to the next</v>
      </c>
      <c r="C194" s="537" t="s">
        <v>732</v>
      </c>
      <c r="D194" s="537" t="s">
        <v>754</v>
      </c>
      <c r="E194" s="537" t="s">
        <v>1388</v>
      </c>
      <c r="F194" s="537" t="s">
        <v>1852</v>
      </c>
    </row>
    <row r="195" spans="1:6" s="538" customFormat="1" x14ac:dyDescent="0.25">
      <c r="A195" s="549" t="str">
        <f t="shared" si="12"/>
        <v>03-C-168</v>
      </c>
      <c r="B195" s="788" t="str">
        <f t="shared" ca="1" si="11"/>
        <v>paying participant in the rankings.</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2</v>
      </c>
    </row>
    <row r="2" spans="1:6" s="555" customFormat="1" x14ac:dyDescent="0.25">
      <c r="A2" s="556" t="s">
        <v>584</v>
      </c>
      <c r="C2" s="557">
        <f>$C$1+2</f>
        <v>4</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Participation Form</v>
      </c>
      <c r="C6" s="565" t="s">
        <v>808</v>
      </c>
      <c r="D6" s="565" t="s">
        <v>809</v>
      </c>
      <c r="E6" s="565" t="s">
        <v>1390</v>
      </c>
      <c r="F6" s="565" t="s">
        <v>1546</v>
      </c>
    </row>
    <row r="7" spans="1:6" s="563" customFormat="1" x14ac:dyDescent="0.25">
      <c r="A7" s="562" t="str">
        <f t="shared" ref="A7:A97" si="1">LEFT(A6,5)&amp;RIGHT("000"&amp;RIGHT(A6,3)*1+1,3)</f>
        <v>04-D-002</v>
      </c>
      <c r="B7" s="785" t="str">
        <f t="shared" ca="1" si="0"/>
        <v>Excel Participation Form</v>
      </c>
      <c r="C7" s="563" t="s">
        <v>807</v>
      </c>
      <c r="D7" s="563" t="s">
        <v>810</v>
      </c>
      <c r="E7" s="563" t="s">
        <v>1391</v>
      </c>
      <c r="F7" s="563" t="s">
        <v>1705</v>
      </c>
    </row>
    <row r="8" spans="1:6" s="565" customFormat="1" x14ac:dyDescent="0.25">
      <c r="A8" s="564" t="str">
        <f t="shared" si="1"/>
        <v>04-D-003</v>
      </c>
      <c r="B8" s="784" t="str">
        <f t="shared" ca="1" si="0"/>
        <v>Group Stage</v>
      </c>
      <c r="C8" s="565" t="s">
        <v>588</v>
      </c>
      <c r="D8" s="565" t="s">
        <v>811</v>
      </c>
      <c r="E8" s="565" t="s">
        <v>1392</v>
      </c>
      <c r="F8" s="565" t="s">
        <v>1706</v>
      </c>
    </row>
    <row r="9" spans="1:6" s="563" customFormat="1" x14ac:dyDescent="0.25">
      <c r="A9" s="562" t="str">
        <f t="shared" si="1"/>
        <v>04-D-004</v>
      </c>
      <c r="B9" s="785" t="str">
        <f t="shared" ca="1" si="0"/>
        <v>Final Ranking Group Stage</v>
      </c>
      <c r="C9" s="563" t="s">
        <v>255</v>
      </c>
      <c r="D9" s="563" t="s">
        <v>891</v>
      </c>
      <c r="E9" s="563" t="s">
        <v>1393</v>
      </c>
      <c r="F9" s="563" t="s">
        <v>1707</v>
      </c>
    </row>
    <row r="10" spans="1:6" s="565" customFormat="1" x14ac:dyDescent="0.25">
      <c r="A10" s="564" t="str">
        <f t="shared" si="1"/>
        <v>04-D-005</v>
      </c>
      <c r="B10" s="784" t="str">
        <f t="shared" ca="1" si="0"/>
        <v>Knockout Phase</v>
      </c>
      <c r="C10" s="565" t="s">
        <v>589</v>
      </c>
      <c r="D10" s="565" t="s">
        <v>875</v>
      </c>
      <c r="E10" s="565" t="s">
        <v>1394</v>
      </c>
      <c r="F10" s="565" t="s">
        <v>1564</v>
      </c>
    </row>
    <row r="11" spans="1:6" s="546" customFormat="1" x14ac:dyDescent="0.25">
      <c r="A11" s="545" t="str">
        <f t="shared" si="1"/>
        <v>04-D-006</v>
      </c>
      <c r="B11" s="786" t="str">
        <f t="shared" ca="1" si="0"/>
        <v>Bonus Questions</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Name</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 ## characters)</v>
      </c>
      <c r="C16" s="532" t="s">
        <v>814</v>
      </c>
      <c r="D16" s="532" t="s">
        <v>816</v>
      </c>
      <c r="E16" s="532" t="s">
        <v>1396</v>
      </c>
      <c r="F16" s="532" t="s">
        <v>1711</v>
      </c>
    </row>
    <row r="17" spans="1:6" s="538" customFormat="1" x14ac:dyDescent="0.25">
      <c r="A17" s="549" t="str">
        <f t="shared" si="1"/>
        <v>04-D-012</v>
      </c>
      <c r="B17" s="788" t="str">
        <f ca="1">TRIM(INDIRECT(CHAR(64+$C$2)&amp;ROW()))</f>
        <v>e-mail address is not required</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Date</v>
      </c>
      <c r="C20" s="537" t="s">
        <v>10</v>
      </c>
      <c r="D20" s="537" t="s">
        <v>824</v>
      </c>
      <c r="E20" s="537" t="s">
        <v>10</v>
      </c>
      <c r="F20" s="537" t="s">
        <v>10</v>
      </c>
    </row>
    <row r="21" spans="1:6" s="538" customFormat="1" x14ac:dyDescent="0.25">
      <c r="A21" s="549" t="str">
        <f t="shared" si="1"/>
        <v>04-D-016</v>
      </c>
      <c r="B21" s="788" t="str">
        <f t="shared" ca="1" si="2"/>
        <v>Time</v>
      </c>
      <c r="C21" s="538" t="s">
        <v>11</v>
      </c>
      <c r="D21" s="538" t="s">
        <v>825</v>
      </c>
      <c r="E21" s="538" t="s">
        <v>1398</v>
      </c>
      <c r="F21" s="538" t="s">
        <v>1713</v>
      </c>
    </row>
    <row r="22" spans="1:6" s="537" customFormat="1" x14ac:dyDescent="0.25">
      <c r="A22" s="550" t="str">
        <f t="shared" si="1"/>
        <v>04-D-017</v>
      </c>
      <c r="B22" s="789" t="str">
        <f t="shared" ca="1" si="2"/>
        <v>Match</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Score</v>
      </c>
      <c r="C24" s="537" t="s">
        <v>13</v>
      </c>
      <c r="D24" s="537" t="s">
        <v>827</v>
      </c>
      <c r="E24" s="537" t="s">
        <v>1400</v>
      </c>
      <c r="F24" s="537" t="s">
        <v>1714</v>
      </c>
    </row>
    <row r="25" spans="1:6" s="538" customFormat="1" x14ac:dyDescent="0.25">
      <c r="A25" s="549" t="str">
        <f t="shared" si="1"/>
        <v>04-D-020</v>
      </c>
      <c r="B25" s="788" t="str">
        <f t="shared" ca="1" si="2"/>
        <v>All times are Central European Time (UCT + 1)</v>
      </c>
      <c r="C25" s="538" t="s">
        <v>171</v>
      </c>
      <c r="D25" s="538" t="s">
        <v>828</v>
      </c>
      <c r="E25" s="538" t="s">
        <v>1401</v>
      </c>
      <c r="F25" s="538" t="s">
        <v>1715</v>
      </c>
    </row>
    <row r="26" spans="1:6" s="537" customFormat="1" x14ac:dyDescent="0.25">
      <c r="A26" s="550" t="str">
        <f t="shared" si="1"/>
        <v>04-D-021</v>
      </c>
      <c r="B26" s="789" t="str">
        <f t="shared" ca="1" si="2"/>
        <v>Group</v>
      </c>
      <c r="C26" s="537" t="s">
        <v>75</v>
      </c>
      <c r="D26" s="537" t="s">
        <v>829</v>
      </c>
      <c r="E26" s="537" t="s">
        <v>1402</v>
      </c>
      <c r="F26" s="537" t="s">
        <v>1716</v>
      </c>
    </row>
    <row r="27" spans="1:6" s="538" customFormat="1" x14ac:dyDescent="0.25">
      <c r="A27" s="549" t="str">
        <f t="shared" si="1"/>
        <v>04-D-022</v>
      </c>
      <c r="B27" s="788" t="str">
        <f t="shared" ca="1" si="2"/>
        <v>Round of 16</v>
      </c>
      <c r="C27" s="538" t="s">
        <v>835</v>
      </c>
      <c r="D27" s="538" t="s">
        <v>831</v>
      </c>
      <c r="E27" s="538" t="s">
        <v>1403</v>
      </c>
      <c r="F27" s="538" t="s">
        <v>1717</v>
      </c>
    </row>
    <row r="28" spans="1:6" s="537" customFormat="1" x14ac:dyDescent="0.25">
      <c r="A28" s="550" t="str">
        <f t="shared" si="1"/>
        <v>04-D-023</v>
      </c>
      <c r="B28" s="789" t="str">
        <f t="shared" ca="1" si="2"/>
        <v>Quarter-finals</v>
      </c>
      <c r="C28" s="537" t="s">
        <v>836</v>
      </c>
      <c r="D28" s="537" t="s">
        <v>832</v>
      </c>
      <c r="E28" s="537" t="s">
        <v>1404</v>
      </c>
      <c r="F28" s="537" t="s">
        <v>1718</v>
      </c>
    </row>
    <row r="29" spans="1:6" s="538" customFormat="1" x14ac:dyDescent="0.25">
      <c r="A29" s="549" t="str">
        <f t="shared" si="1"/>
        <v>04-D-024</v>
      </c>
      <c r="B29" s="788" t="str">
        <f t="shared" ca="1" si="2"/>
        <v>Semi-finals</v>
      </c>
      <c r="C29" s="538" t="s">
        <v>837</v>
      </c>
      <c r="D29" s="538" t="s">
        <v>833</v>
      </c>
      <c r="E29" s="538" t="s">
        <v>1405</v>
      </c>
      <c r="F29" s="538" t="s">
        <v>1719</v>
      </c>
    </row>
    <row r="30" spans="1:6" s="537" customFormat="1" x14ac:dyDescent="0.25">
      <c r="A30" s="550" t="str">
        <f t="shared" si="1"/>
        <v>04-D-025</v>
      </c>
      <c r="B30" s="789" t="str">
        <f t="shared" ca="1" si="2"/>
        <v>Consolation Final</v>
      </c>
      <c r="C30" s="537" t="s">
        <v>170</v>
      </c>
      <c r="D30" s="537" t="s">
        <v>834</v>
      </c>
      <c r="E30" s="537" t="s">
        <v>1406</v>
      </c>
      <c r="F30" s="537" t="s">
        <v>1720</v>
      </c>
    </row>
    <row r="31" spans="1:6" s="538" customFormat="1" x14ac:dyDescent="0.25">
      <c r="A31" s="549" t="str">
        <f t="shared" si="1"/>
        <v>04-D-026</v>
      </c>
      <c r="B31" s="788" t="str">
        <f t="shared" ca="1" si="2"/>
        <v>Final</v>
      </c>
      <c r="C31" s="538" t="s">
        <v>21</v>
      </c>
      <c r="D31" s="538" t="s">
        <v>830</v>
      </c>
      <c r="E31" s="538" t="s">
        <v>21</v>
      </c>
      <c r="F31" s="538" t="s">
        <v>830</v>
      </c>
    </row>
    <row r="32" spans="1:6" s="537" customFormat="1" x14ac:dyDescent="0.25">
      <c r="A32" s="550" t="str">
        <f t="shared" si="1"/>
        <v>04-D-027</v>
      </c>
      <c r="B32" s="789" t="str">
        <f t="shared" ca="1" si="2"/>
        <v>European Champion</v>
      </c>
      <c r="C32" s="537" t="s">
        <v>2327</v>
      </c>
      <c r="D32" s="537" t="s">
        <v>2328</v>
      </c>
      <c r="E32" s="537" t="s">
        <v>2329</v>
      </c>
      <c r="F32" s="537" t="s">
        <v>2330</v>
      </c>
    </row>
    <row r="33" spans="1:6" s="538" customFormat="1" x14ac:dyDescent="0.25">
      <c r="A33" s="549" t="str">
        <f t="shared" si="1"/>
        <v>04-D-028</v>
      </c>
      <c r="B33" s="788" t="str">
        <f t="shared" ca="1" si="2"/>
        <v>1 win for the home team, 2 win for the away team, 3 draw</v>
      </c>
      <c r="C33" s="538" t="s">
        <v>272</v>
      </c>
      <c r="D33" s="538" t="s">
        <v>838</v>
      </c>
      <c r="E33" s="538" t="s">
        <v>1407</v>
      </c>
      <c r="F33" s="538" t="s">
        <v>1721</v>
      </c>
    </row>
    <row r="34" spans="1:6" s="537" customFormat="1" x14ac:dyDescent="0.25">
      <c r="A34" s="550" t="str">
        <f t="shared" si="1"/>
        <v>04-D-029</v>
      </c>
      <c r="B34" s="789" t="str">
        <f t="shared" ca="1" si="2"/>
        <v>always show the suggestions</v>
      </c>
      <c r="C34" s="537" t="s">
        <v>179</v>
      </c>
      <c r="D34" s="537" t="s">
        <v>998</v>
      </c>
      <c r="E34" s="537" t="s">
        <v>1408</v>
      </c>
      <c r="F34" s="537" t="s">
        <v>1722</v>
      </c>
    </row>
    <row r="35" spans="1:6" s="538" customFormat="1" x14ac:dyDescent="0.25">
      <c r="A35" s="549" t="str">
        <f t="shared" si="1"/>
        <v>04-D-030</v>
      </c>
      <c r="B35" s="788" t="str">
        <f t="shared" ca="1" si="2"/>
        <v>hide suggestions after completion</v>
      </c>
      <c r="C35" s="538" t="s">
        <v>178</v>
      </c>
      <c r="D35" s="538" t="s">
        <v>847</v>
      </c>
      <c r="E35" s="538" t="s">
        <v>1409</v>
      </c>
      <c r="F35" s="538" t="s">
        <v>1723</v>
      </c>
    </row>
    <row r="36" spans="1:6" s="537" customFormat="1" x14ac:dyDescent="0.25">
      <c r="A36" s="550" t="str">
        <f t="shared" si="1"/>
        <v>04-D-031</v>
      </c>
      <c r="B36" s="789" t="str">
        <f t="shared" ca="1" si="2"/>
        <v>do not display the suggestions</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Notes on completing the Form</v>
      </c>
      <c r="C41" s="538" t="s">
        <v>185</v>
      </c>
      <c r="D41" s="538" t="s">
        <v>817</v>
      </c>
      <c r="E41" s="538" t="s">
        <v>1411</v>
      </c>
      <c r="F41" s="538" t="s">
        <v>1725</v>
      </c>
    </row>
    <row r="42" spans="1:6" s="537" customFormat="1" x14ac:dyDescent="0.25">
      <c r="A42" s="550" t="str">
        <f t="shared" si="1"/>
        <v>04-D-037</v>
      </c>
      <c r="B42" s="787" t="str">
        <f t="shared" ca="1" si="3"/>
        <v>It is not possible to predict results in which one team will score more than 9 goals. If a team scores more than 9 goals during one match, 9 goals will be noted for the result.</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For predicting the TOTO, enter a 1 when you think the home team will win, a 2 if you think the away team will win and when you expect a draw, you enter a 3.</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The background color of the fields to be filled in indicates the status of the field. This status corresponds to the table on the right.</v>
      </c>
      <c r="C44" s="537" t="s">
        <v>818</v>
      </c>
      <c r="D44" s="537" t="s">
        <v>819</v>
      </c>
      <c r="E44" s="537" t="s">
        <v>1412</v>
      </c>
      <c r="F44" s="537" t="s">
        <v>1726</v>
      </c>
    </row>
    <row r="45" spans="1:6" s="538" customFormat="1" x14ac:dyDescent="0.25">
      <c r="A45" s="549" t="str">
        <f t="shared" si="1"/>
        <v>04-D-040</v>
      </c>
      <c r="B45" s="788" t="str">
        <f t="shared" ca="1" si="3"/>
        <v>Entered correctly</v>
      </c>
      <c r="C45" s="538" t="s">
        <v>28</v>
      </c>
      <c r="D45" s="538" t="s">
        <v>820</v>
      </c>
      <c r="E45" s="538" t="s">
        <v>1413</v>
      </c>
      <c r="F45" s="538" t="s">
        <v>1727</v>
      </c>
    </row>
    <row r="46" spans="1:6" s="537" customFormat="1" x14ac:dyDescent="0.25">
      <c r="A46" s="550" t="str">
        <f t="shared" si="1"/>
        <v>04-D-041</v>
      </c>
      <c r="B46" s="787" t="str">
        <f t="shared" ca="1" si="3"/>
        <v>No value entered</v>
      </c>
      <c r="C46" s="537" t="s">
        <v>81</v>
      </c>
      <c r="D46" s="537" t="s">
        <v>821</v>
      </c>
      <c r="E46" s="537" t="s">
        <v>1414</v>
      </c>
      <c r="F46" s="537" t="s">
        <v>1728</v>
      </c>
    </row>
    <row r="47" spans="1:6" s="538" customFormat="1" x14ac:dyDescent="0.25">
      <c r="A47" s="549" t="str">
        <f t="shared" si="1"/>
        <v>04-D-042</v>
      </c>
      <c r="B47" s="788" t="str">
        <f t="shared" ca="1" si="3"/>
        <v>Incorrectly entered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The Group Stage - Groups A to F</v>
      </c>
      <c r="C49" s="538" t="s">
        <v>2331</v>
      </c>
      <c r="D49" s="538" t="s">
        <v>2332</v>
      </c>
      <c r="E49" s="538" t="s">
        <v>2333</v>
      </c>
      <c r="F49" s="538" t="s">
        <v>2334</v>
      </c>
    </row>
    <row r="50" spans="1:6" s="537" customFormat="1" x14ac:dyDescent="0.25">
      <c r="A50" s="550" t="str">
        <f t="shared" si="1"/>
        <v>04-D-045</v>
      </c>
      <c r="B50" s="787" t="str">
        <f t="shared" ca="1" si="3"/>
        <v>Predict the results of the group matches and fill this in on this sheet.</v>
      </c>
      <c r="C50" s="537" t="s">
        <v>842</v>
      </c>
      <c r="D50" s="537" t="s">
        <v>841</v>
      </c>
      <c r="E50" s="537" t="s">
        <v>1416</v>
      </c>
      <c r="F50" s="537" t="s">
        <v>1730</v>
      </c>
    </row>
    <row r="51" spans="1:6" s="538" customFormat="1" x14ac:dyDescent="0.25">
      <c r="A51" s="549" t="str">
        <f t="shared" si="1"/>
        <v>04-D-046</v>
      </c>
      <c r="B51" s="788" t="str">
        <f t="shared" ca="1" si="3"/>
        <v>Predict which team will win the match or a draw and fill this in on this sheet.</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Final Ranking Group A to F</v>
      </c>
      <c r="C53" s="538" t="s">
        <v>2338</v>
      </c>
      <c r="D53" s="538" t="s">
        <v>2337</v>
      </c>
      <c r="E53" s="538" t="s">
        <v>2336</v>
      </c>
      <c r="F53" s="538" t="s">
        <v>2335</v>
      </c>
    </row>
    <row r="54" spans="1:6" s="537" customFormat="1" x14ac:dyDescent="0.25">
      <c r="A54" s="550" t="str">
        <f t="shared" si="1"/>
        <v>04-D-049</v>
      </c>
      <c r="B54" s="787" t="str">
        <f t="shared" ca="1" si="3"/>
        <v>Predict the final ranking of the groups and fill this in on this sheet.</v>
      </c>
      <c r="C54" s="537" t="s">
        <v>840</v>
      </c>
      <c r="D54" s="537" t="s">
        <v>892</v>
      </c>
      <c r="E54" s="537" t="s">
        <v>1418</v>
      </c>
      <c r="F54" s="537" t="s">
        <v>1732</v>
      </c>
    </row>
    <row r="55" spans="1:6" s="538" customFormat="1" x14ac:dyDescent="0.25">
      <c r="A55" s="549" t="str">
        <f t="shared" si="1"/>
        <v>04-D-050</v>
      </c>
      <c r="B55" s="788" t="str">
        <f t="shared" ca="1" si="3"/>
        <v>Each country may only be entered once when predicting the results of the groups.</v>
      </c>
      <c r="C55" s="538" t="s">
        <v>226</v>
      </c>
      <c r="D55" s="538" t="s">
        <v>843</v>
      </c>
      <c r="E55" s="538" t="s">
        <v>1419</v>
      </c>
      <c r="F55" s="538" t="s">
        <v>1733</v>
      </c>
    </row>
    <row r="56" spans="1:6" s="537" customFormat="1" x14ac:dyDescent="0.25">
      <c r="A56" s="550" t="str">
        <f t="shared" si="1"/>
        <v>04-D-051</v>
      </c>
      <c r="B56" s="787" t="str">
        <f t="shared" ca="1" si="3"/>
        <v>Overview of the groups</v>
      </c>
      <c r="C56" s="537" t="s">
        <v>844</v>
      </c>
      <c r="D56" s="537" t="s">
        <v>893</v>
      </c>
      <c r="E56" s="537" t="s">
        <v>1420</v>
      </c>
      <c r="F56" s="537" t="s">
        <v>1734</v>
      </c>
    </row>
    <row r="57" spans="1:6" s="538" customFormat="1" x14ac:dyDescent="0.25">
      <c r="A57" s="549" t="str">
        <f t="shared" si="1"/>
        <v>04-D-052</v>
      </c>
      <c r="B57" s="788" t="str">
        <f t="shared" ca="1" si="3"/>
        <v>To help you on your way, you can be given a suggestion based on previous predictions, provided that they have been fully completed. You are not required to follow this suggestion.</v>
      </c>
      <c r="C57" s="538" t="s">
        <v>1043</v>
      </c>
      <c r="D57" s="538" t="s">
        <v>845</v>
      </c>
      <c r="E57" s="538" t="s">
        <v>1421</v>
      </c>
      <c r="F57" s="538" t="s">
        <v>1735</v>
      </c>
    </row>
    <row r="58" spans="1:6" s="537" customFormat="1" x14ac:dyDescent="0.25">
      <c r="A58" s="550" t="str">
        <f t="shared" si="1"/>
        <v>04-D-053</v>
      </c>
      <c r="B58" s="787" t="str">
        <f t="shared" ca="1" si="3"/>
        <v>Final ranking in the group based on previous predictions</v>
      </c>
      <c r="C58" s="537" t="s">
        <v>858</v>
      </c>
      <c r="D58" s="537" t="s">
        <v>894</v>
      </c>
      <c r="E58" s="537" t="s">
        <v>1422</v>
      </c>
      <c r="F58" s="537" t="s">
        <v>1736</v>
      </c>
    </row>
    <row r="59" spans="1:6" s="538" customFormat="1" x14ac:dyDescent="0.25">
      <c r="A59" s="549" t="str">
        <f t="shared" si="1"/>
        <v>04-D-054</v>
      </c>
      <c r="B59" s="788" t="str">
        <f t="shared" ca="1" si="3"/>
        <v>Points</v>
      </c>
      <c r="C59" s="538" t="s">
        <v>98</v>
      </c>
      <c r="D59" s="538" t="s">
        <v>665</v>
      </c>
      <c r="E59" s="538" t="s">
        <v>1301</v>
      </c>
      <c r="F59" s="538" t="s">
        <v>1617</v>
      </c>
    </row>
    <row r="60" spans="1:6" s="537" customFormat="1" x14ac:dyDescent="0.25">
      <c r="A60" s="550" t="str">
        <f t="shared" si="1"/>
        <v>04-D-055</v>
      </c>
      <c r="B60" s="787" t="str">
        <f t="shared" ca="1" si="3"/>
        <v>Goals for</v>
      </c>
      <c r="C60" s="537" t="s">
        <v>82</v>
      </c>
      <c r="D60" s="537" t="s">
        <v>859</v>
      </c>
      <c r="E60" s="537" t="s">
        <v>1423</v>
      </c>
      <c r="F60" s="537" t="s">
        <v>1737</v>
      </c>
    </row>
    <row r="61" spans="1:6" s="538" customFormat="1" x14ac:dyDescent="0.25">
      <c r="A61" s="549" t="str">
        <f t="shared" si="1"/>
        <v>04-D-056</v>
      </c>
      <c r="B61" s="788" t="str">
        <f t="shared" ca="1" si="3"/>
        <v>Goals against</v>
      </c>
      <c r="C61" s="538" t="s">
        <v>83</v>
      </c>
      <c r="D61" s="538" t="s">
        <v>860</v>
      </c>
      <c r="E61" s="538" t="s">
        <v>1424</v>
      </c>
      <c r="F61" s="538" t="s">
        <v>1738</v>
      </c>
    </row>
    <row r="62" spans="1:6" s="537" customFormat="1" x14ac:dyDescent="0.25">
      <c r="A62" s="550" t="str">
        <f t="shared" si="1"/>
        <v>04-D-057</v>
      </c>
      <c r="B62" s="787" t="str">
        <f t="shared" ca="1" si="3"/>
        <v>NOTE: not all matches in group # contain a prediction.</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The Knockout Phase</v>
      </c>
      <c r="C64" s="537" t="s">
        <v>72</v>
      </c>
      <c r="D64" s="537" t="s">
        <v>874</v>
      </c>
      <c r="E64" s="537" t="s">
        <v>1426</v>
      </c>
      <c r="F64" s="537" t="s">
        <v>1564</v>
      </c>
    </row>
    <row r="65" spans="1:6" s="538" customFormat="1" x14ac:dyDescent="0.25">
      <c r="A65" s="549" t="str">
        <f t="shared" si="1"/>
        <v>04-D-060</v>
      </c>
      <c r="B65" s="788" t="str">
        <f t="shared" ca="1" si="4"/>
        <v>For each final round, predict the countries and the results and enter them on this sheet.</v>
      </c>
      <c r="C65" s="538" t="s">
        <v>885</v>
      </c>
      <c r="D65" s="538" t="s">
        <v>890</v>
      </c>
      <c r="E65" s="538" t="s">
        <v>1427</v>
      </c>
      <c r="F65" s="538" t="s">
        <v>1740</v>
      </c>
    </row>
    <row r="66" spans="1:6" s="537" customFormat="1" x14ac:dyDescent="0.25">
      <c r="A66" s="550" t="str">
        <f t="shared" si="1"/>
        <v>04-D-061</v>
      </c>
      <c r="B66" s="787" t="str">
        <f t="shared" ca="1" si="4"/>
        <v>For each final round, predict the countries and which team will win the match or a draw and enter this on this sheet.</v>
      </c>
      <c r="C66" s="537" t="s">
        <v>886</v>
      </c>
      <c r="D66" s="537" t="s">
        <v>888</v>
      </c>
      <c r="E66" s="537" t="s">
        <v>1428</v>
      </c>
      <c r="F66" s="537" t="s">
        <v>1741</v>
      </c>
    </row>
    <row r="67" spans="1:6" s="538" customFormat="1" x14ac:dyDescent="0.25">
      <c r="A67" s="549" t="str">
        <f t="shared" si="1"/>
        <v>04-D-062</v>
      </c>
      <c r="B67" s="788" t="str">
        <f t="shared" ca="1" si="4"/>
        <v>For each final round, predict the countries and enter them on this sheet.</v>
      </c>
      <c r="C67" s="538" t="s">
        <v>887</v>
      </c>
      <c r="D67" s="538" t="s">
        <v>889</v>
      </c>
      <c r="E67" s="538" t="s">
        <v>1429</v>
      </c>
      <c r="F67" s="538" t="s">
        <v>1742</v>
      </c>
    </row>
    <row r="68" spans="1:6" s="569" customFormat="1" x14ac:dyDescent="0.25">
      <c r="A68" s="550" t="str">
        <f t="shared" si="1"/>
        <v>04-D-063</v>
      </c>
      <c r="B68" s="787" t="str">
        <f t="shared" ca="1" si="4"/>
        <v>It is not allowed to predict a country multiple times in the same round.</v>
      </c>
      <c r="C68" s="537" t="s">
        <v>938</v>
      </c>
      <c r="D68" s="537" t="s">
        <v>939</v>
      </c>
      <c r="E68" s="537" t="s">
        <v>1430</v>
      </c>
      <c r="F68" s="537" t="s">
        <v>1743</v>
      </c>
    </row>
    <row r="69" spans="1:6" s="538" customFormat="1" x14ac:dyDescent="0.25">
      <c r="A69" s="549" t="str">
        <f t="shared" si="1"/>
        <v>04-D-064</v>
      </c>
      <c r="B69" s="788" t="str">
        <f t="shared" ca="1" si="4"/>
        <v>To help you on your way, you can be given a suggestion based on previous predictions, provided that they have been fully completed. You are not obliged to follow this up.. The predicted final ranking of the groups is used for the round of 16.</v>
      </c>
      <c r="C69" s="538" t="s">
        <v>1042</v>
      </c>
      <c r="D69" s="538" t="s">
        <v>996</v>
      </c>
      <c r="E69" s="538" t="s">
        <v>1431</v>
      </c>
      <c r="F69" s="538" t="s">
        <v>1744</v>
      </c>
    </row>
    <row r="70" spans="1:6" s="537" customFormat="1" x14ac:dyDescent="0.25">
      <c r="A70" s="550" t="str">
        <f t="shared" si="1"/>
        <v>04-D-065</v>
      </c>
      <c r="B70" s="787" t="str">
        <f t="shared" ca="1" si="4"/>
        <v>To help you on your way, you can be given a suggestion based on previous predictions, provided that they have been fully completed. You are not obliged to follow this up.</v>
      </c>
      <c r="C70" s="537" t="s">
        <v>1043</v>
      </c>
      <c r="D70" s="537" t="s">
        <v>995</v>
      </c>
      <c r="E70" s="537" t="s">
        <v>1432</v>
      </c>
      <c r="F70" s="537" t="s">
        <v>1735</v>
      </c>
    </row>
    <row r="71" spans="1:6" s="538" customFormat="1" x14ac:dyDescent="0.25">
      <c r="A71" s="549" t="str">
        <f t="shared" si="1"/>
        <v>04-D-066</v>
      </c>
      <c r="B71" s="788" t="str">
        <f t="shared" ca="1" si="4"/>
        <v>Via the link below you can find the criteria for determining the 4 best numbers 3 in the group phase.</v>
      </c>
      <c r="C71" s="538" t="s">
        <v>899</v>
      </c>
      <c r="D71" s="538" t="s">
        <v>900</v>
      </c>
      <c r="E71" s="538" t="s">
        <v>1433</v>
      </c>
      <c r="F71" s="538" t="s">
        <v>1745</v>
      </c>
    </row>
    <row r="72" spans="1:6" s="537" customFormat="1" x14ac:dyDescent="0.25">
      <c r="A72" s="550" t="str">
        <f t="shared" si="1"/>
        <v>04-D-067</v>
      </c>
      <c r="B72" s="787" t="str">
        <f t="shared" ca="1" si="4"/>
        <v>You will also find a table here to determine which team plays in which 1/8 final.</v>
      </c>
      <c r="C72" s="537" t="s">
        <v>434</v>
      </c>
      <c r="D72" s="537" t="s">
        <v>901</v>
      </c>
      <c r="E72" s="537" t="s">
        <v>1434</v>
      </c>
      <c r="F72" s="537" t="s">
        <v>1746</v>
      </c>
    </row>
    <row r="73" spans="1:6" s="538" customFormat="1" x14ac:dyDescent="0.25">
      <c r="A73" s="549" t="str">
        <f t="shared" si="1"/>
        <v>04-D-068</v>
      </c>
      <c r="B73" s="788" t="str">
        <f t="shared" ca="1" si="4"/>
        <v>www.excel-pool.nl/4best3</v>
      </c>
      <c r="C73" s="538" t="s">
        <v>432</v>
      </c>
      <c r="D73" s="538" t="s">
        <v>898</v>
      </c>
      <c r="E73" s="538" t="s">
        <v>898</v>
      </c>
      <c r="F73" s="538" t="s">
        <v>432</v>
      </c>
    </row>
    <row r="74" spans="1:6" s="537" customFormat="1" x14ac:dyDescent="0.25">
      <c r="A74" s="550" t="str">
        <f t="shared" si="1"/>
        <v>04-D-069</v>
      </c>
      <c r="B74" s="787" t="str">
        <f t="shared" ca="1" si="4"/>
        <v>No.1 Group</v>
      </c>
      <c r="C74" s="537" t="s">
        <v>902</v>
      </c>
      <c r="D74" s="537" t="s">
        <v>905</v>
      </c>
      <c r="E74" s="537" t="s">
        <v>1435</v>
      </c>
      <c r="F74" s="537" t="s">
        <v>1747</v>
      </c>
    </row>
    <row r="75" spans="1:6" s="538" customFormat="1" x14ac:dyDescent="0.25">
      <c r="A75" s="549" t="str">
        <f t="shared" si="1"/>
        <v>04-D-070</v>
      </c>
      <c r="B75" s="788" t="str">
        <f t="shared" ca="1" si="4"/>
        <v>No.2 Group</v>
      </c>
      <c r="C75" s="538" t="s">
        <v>904</v>
      </c>
      <c r="D75" s="538" t="s">
        <v>906</v>
      </c>
      <c r="E75" s="538" t="s">
        <v>1436</v>
      </c>
      <c r="F75" s="538" t="s">
        <v>1748</v>
      </c>
    </row>
    <row r="76" spans="1:6" s="537" customFormat="1" x14ac:dyDescent="0.25">
      <c r="A76" s="550" t="str">
        <f t="shared" si="1"/>
        <v>04-D-071</v>
      </c>
      <c r="B76" s="787" t="str">
        <f t="shared" ca="1" si="4"/>
        <v>No.3 Group</v>
      </c>
      <c r="C76" s="537" t="s">
        <v>903</v>
      </c>
      <c r="D76" s="537" t="s">
        <v>907</v>
      </c>
      <c r="E76" s="537" t="s">
        <v>1437</v>
      </c>
      <c r="F76" s="537" t="s">
        <v>1749</v>
      </c>
    </row>
    <row r="77" spans="1:6" s="538" customFormat="1" x14ac:dyDescent="0.25">
      <c r="A77" s="549" t="str">
        <f t="shared" si="1"/>
        <v>04-D-072</v>
      </c>
      <c r="B77" s="788" t="str">
        <f t="shared" ca="1" si="4"/>
        <v>Winner Match</v>
      </c>
      <c r="C77" s="538" t="s">
        <v>908</v>
      </c>
      <c r="D77" s="538" t="s">
        <v>910</v>
      </c>
      <c r="E77" s="538" t="s">
        <v>1438</v>
      </c>
      <c r="F77" s="538" t="s">
        <v>1750</v>
      </c>
    </row>
    <row r="78" spans="1:6" s="537" customFormat="1" x14ac:dyDescent="0.25">
      <c r="A78" s="550" t="str">
        <f t="shared" si="1"/>
        <v>04-D-073</v>
      </c>
      <c r="B78" s="787" t="str">
        <f t="shared" ca="1" si="4"/>
        <v>Loser Match</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To help you on your way, you can be given a suggestion based on previous predictions, provided that they have been fully completed.</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The Open Questions</v>
      </c>
      <c r="C82" s="537" t="s">
        <v>295</v>
      </c>
      <c r="D82" s="537" t="s">
        <v>944</v>
      </c>
      <c r="E82" s="537" t="s">
        <v>1441</v>
      </c>
      <c r="F82" s="537" t="s">
        <v>1753</v>
      </c>
    </row>
    <row r="83" spans="1:6" s="538" customFormat="1" x14ac:dyDescent="0.25">
      <c r="A83" s="549" t="str">
        <f t="shared" si="1"/>
        <v>04-D-078</v>
      </c>
      <c r="B83" s="788" t="str">
        <f t="shared" ca="1" si="5"/>
        <v>You receive ## point for every well-answered open question.</v>
      </c>
      <c r="C83" s="538" t="s">
        <v>1000</v>
      </c>
      <c r="D83" s="538" t="s">
        <v>946</v>
      </c>
      <c r="E83" s="538" t="s">
        <v>1442</v>
      </c>
      <c r="F83" s="538" t="s">
        <v>1754</v>
      </c>
    </row>
    <row r="84" spans="1:6" s="537" customFormat="1" x14ac:dyDescent="0.25">
      <c r="A84" s="550" t="str">
        <f t="shared" si="1"/>
        <v>04-D-079</v>
      </c>
      <c r="B84" s="787" t="str">
        <f t="shared" ca="1" si="5"/>
        <v>You receive ## points for each well-answered open question.</v>
      </c>
      <c r="C84" s="537" t="s">
        <v>1001</v>
      </c>
      <c r="D84" s="537" t="s">
        <v>947</v>
      </c>
      <c r="E84" s="537" t="s">
        <v>1443</v>
      </c>
      <c r="F84" s="537" t="s">
        <v>1754</v>
      </c>
    </row>
    <row r="85" spans="1:6" s="538" customFormat="1" x14ac:dyDescent="0.25">
      <c r="A85" s="549" t="str">
        <f t="shared" si="1"/>
        <v>04-D-080</v>
      </c>
      <c r="B85" s="788" t="str">
        <f t="shared" ca="1" si="5"/>
        <v>Predict the top scorer of the tournament</v>
      </c>
      <c r="C85" s="538" t="s">
        <v>948</v>
      </c>
      <c r="D85" s="538" t="s">
        <v>951</v>
      </c>
      <c r="E85" s="538" t="s">
        <v>1444</v>
      </c>
      <c r="F85" s="538" t="s">
        <v>1755</v>
      </c>
    </row>
    <row r="86" spans="1:6" s="537" customFormat="1" x14ac:dyDescent="0.25">
      <c r="A86" s="550" t="str">
        <f t="shared" si="1"/>
        <v>04-D-081</v>
      </c>
      <c r="B86" s="787" t="str">
        <f t="shared" ca="1" si="5"/>
        <v>Predict a player who scores an own goal</v>
      </c>
      <c r="C86" s="537" t="s">
        <v>949</v>
      </c>
      <c r="D86" s="537" t="s">
        <v>952</v>
      </c>
      <c r="E86" s="537" t="s">
        <v>1445</v>
      </c>
      <c r="F86" s="537" t="s">
        <v>1756</v>
      </c>
    </row>
    <row r="87" spans="1:6" s="538" customFormat="1" x14ac:dyDescent="0.25">
      <c r="A87" s="549" t="str">
        <f t="shared" si="1"/>
        <v>04-D-082</v>
      </c>
      <c r="B87" s="788" t="str">
        <f t="shared" ca="1" si="5"/>
        <v>Predict a player who receives a red card</v>
      </c>
      <c r="C87" s="538" t="s">
        <v>950</v>
      </c>
      <c r="D87" s="538" t="s">
        <v>953</v>
      </c>
      <c r="E87" s="538" t="s">
        <v>1446</v>
      </c>
      <c r="F87" s="538" t="s">
        <v>1757</v>
      </c>
    </row>
    <row r="88" spans="1:6" s="537" customFormat="1" x14ac:dyDescent="0.25">
      <c r="A88" s="550" t="str">
        <f t="shared" si="1"/>
        <v>04-D-083</v>
      </c>
      <c r="B88" s="787" t="str">
        <f t="shared" ca="1" si="5"/>
        <v>Predict the top scorer of the national team</v>
      </c>
      <c r="C88" s="537" t="s">
        <v>955</v>
      </c>
      <c r="D88" s="537" t="s">
        <v>954</v>
      </c>
      <c r="E88" s="537" t="s">
        <v>1447</v>
      </c>
      <c r="F88" s="537" t="s">
        <v>1758</v>
      </c>
    </row>
    <row r="89" spans="1:6" s="538" customFormat="1" x14ac:dyDescent="0.25">
      <c r="A89" s="549" t="str">
        <f t="shared" si="1"/>
        <v>04-D-084</v>
      </c>
      <c r="B89" s="788" t="str">
        <f t="shared" ca="1" si="5"/>
        <v>Predict the top scorer of the</v>
      </c>
      <c r="C89" s="538" t="s">
        <v>956</v>
      </c>
      <c r="D89" s="538" t="s">
        <v>957</v>
      </c>
      <c r="E89" s="538" t="s">
        <v>1448</v>
      </c>
      <c r="F89" s="538" t="s">
        <v>1759</v>
      </c>
    </row>
    <row r="90" spans="1:6" s="537" customFormat="1" x14ac:dyDescent="0.25">
      <c r="A90" s="550" t="str">
        <f t="shared" si="1"/>
        <v>04-D-085</v>
      </c>
      <c r="B90" s="787" t="str">
        <f t="shared" ca="1" si="5"/>
        <v>Predict the team that will score the most goals.</v>
      </c>
      <c r="C90" s="537" t="s">
        <v>959</v>
      </c>
      <c r="D90" s="537" t="s">
        <v>1186</v>
      </c>
      <c r="E90" s="537" t="s">
        <v>1449</v>
      </c>
      <c r="F90" s="537" t="s">
        <v>1760</v>
      </c>
    </row>
    <row r="91" spans="1:6" s="538" customFormat="1" x14ac:dyDescent="0.25">
      <c r="A91" s="549" t="str">
        <f t="shared" si="1"/>
        <v>04-D-086</v>
      </c>
      <c r="B91" s="788" t="str">
        <f t="shared" ca="1" si="5"/>
        <v>Predict the team with the most goals against</v>
      </c>
      <c r="C91" s="538" t="s">
        <v>961</v>
      </c>
      <c r="D91" s="538" t="s">
        <v>958</v>
      </c>
      <c r="E91" s="538" t="s">
        <v>1850</v>
      </c>
      <c r="F91" s="538" t="s">
        <v>1761</v>
      </c>
    </row>
    <row r="92" spans="1:6" s="537" customFormat="1" x14ac:dyDescent="0.25">
      <c r="A92" s="550" t="str">
        <f t="shared" si="1"/>
        <v>04-D-087</v>
      </c>
      <c r="B92" s="787" t="str">
        <f t="shared" ca="1" si="5"/>
        <v>Predict the country with the most red and yellow cards</v>
      </c>
      <c r="C92" s="537" t="s">
        <v>960</v>
      </c>
      <c r="D92" s="537" t="s">
        <v>962</v>
      </c>
      <c r="E92" s="537" t="s">
        <v>1450</v>
      </c>
      <c r="F92" s="537" t="s">
        <v>1762</v>
      </c>
    </row>
    <row r="93" spans="1:6" s="538" customFormat="1" x14ac:dyDescent="0.25">
      <c r="A93" s="549" t="str">
        <f t="shared" si="1"/>
        <v>04-D-088</v>
      </c>
      <c r="B93" s="788" t="str">
        <f t="shared" ca="1" si="5"/>
        <v>depending on the rules, the goals scored during the extra time may or may not be included in the count.</v>
      </c>
      <c r="C93" s="538" t="s">
        <v>941</v>
      </c>
      <c r="D93" s="538" t="s">
        <v>963</v>
      </c>
      <c r="E93" s="538" t="s">
        <v>1451</v>
      </c>
      <c r="F93" s="538" t="s">
        <v>1763</v>
      </c>
    </row>
    <row r="94" spans="1:6" s="537" customFormat="1" ht="15" customHeight="1" x14ac:dyDescent="0.25">
      <c r="A94" s="550" t="str">
        <f t="shared" si="1"/>
        <v>04-D-089</v>
      </c>
      <c r="B94" s="787" t="str">
        <f t="shared" ca="1" si="5"/>
        <v>only the goals scored during the regular playing time including injury time are counted.</v>
      </c>
      <c r="C94" s="537" t="s">
        <v>942</v>
      </c>
      <c r="D94" s="537" t="s">
        <v>945</v>
      </c>
      <c r="E94" s="537" t="s">
        <v>1452</v>
      </c>
      <c r="F94" s="537" t="s">
        <v>1764</v>
      </c>
    </row>
    <row r="95" spans="1:6" s="538" customFormat="1" x14ac:dyDescent="0.25">
      <c r="A95" s="549" t="str">
        <f t="shared" si="1"/>
        <v>04-D-090</v>
      </c>
      <c r="B95" s="788" t="str">
        <f t="shared" ca="1" si="5"/>
        <v>only the goals scored during the regular playing time, injury time and possible extra time are counted.</v>
      </c>
      <c r="C95" s="538" t="s">
        <v>943</v>
      </c>
      <c r="D95" s="538" t="s">
        <v>964</v>
      </c>
      <c r="E95" s="538" t="s">
        <v>1453</v>
      </c>
      <c r="F95" s="538" t="s">
        <v>1765</v>
      </c>
    </row>
    <row r="96" spans="1:6" s="537" customFormat="1" x14ac:dyDescent="0.25">
      <c r="A96" s="550" t="str">
        <f t="shared" si="1"/>
        <v>04-D-091</v>
      </c>
      <c r="B96" s="787" t="str">
        <f t="shared" ca="1" si="5"/>
        <v>one red card will be counted as two yellow cards, in the case of indirect red the yellow cards will not be counted.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The Estimation Questions</v>
      </c>
      <c r="C98" s="537" t="s">
        <v>296</v>
      </c>
      <c r="D98" s="537" t="s">
        <v>975</v>
      </c>
      <c r="E98" s="537" t="s">
        <v>1455</v>
      </c>
      <c r="F98" s="537" t="s">
        <v>1767</v>
      </c>
    </row>
    <row r="99" spans="1:6" s="538" customFormat="1" x14ac:dyDescent="0.25">
      <c r="A99" s="549" t="str">
        <f t="shared" si="6"/>
        <v>04-D-094</v>
      </c>
      <c r="B99" s="788" t="str">
        <f t="shared" ca="1" si="5"/>
        <v>You receive ## point for every correctly answered estimination question.</v>
      </c>
      <c r="C99" s="538" t="s">
        <v>1002</v>
      </c>
      <c r="D99" s="538" t="s">
        <v>981</v>
      </c>
      <c r="E99" s="538" t="s">
        <v>1456</v>
      </c>
      <c r="F99" s="538" t="s">
        <v>1768</v>
      </c>
    </row>
    <row r="100" spans="1:6" s="537" customFormat="1" x14ac:dyDescent="0.25">
      <c r="A100" s="550" t="str">
        <f t="shared" si="6"/>
        <v>04-D-095</v>
      </c>
      <c r="B100" s="787" t="str">
        <f t="shared" ca="1" si="5"/>
        <v>You receive ## points for each correctly answered estimination question.</v>
      </c>
      <c r="C100" s="537" t="s">
        <v>1003</v>
      </c>
      <c r="D100" s="537" t="s">
        <v>976</v>
      </c>
      <c r="E100" s="537" t="s">
        <v>1457</v>
      </c>
      <c r="F100" s="537" t="s">
        <v>1768</v>
      </c>
    </row>
    <row r="101" spans="1:6" s="538" customFormat="1" x14ac:dyDescent="0.25">
      <c r="A101" s="549" t="str">
        <f t="shared" si="6"/>
        <v>04-D-096</v>
      </c>
      <c r="B101" s="788" t="str">
        <f t="shared" ca="1" si="5"/>
        <v>For each point that the prediction deviates from the outcome, $$ point deduction applies to a maximum of ## points per estimation question. By default, people receive ## points for each estimation question.</v>
      </c>
      <c r="C101" s="538" t="s">
        <v>1180</v>
      </c>
      <c r="D101" s="538" t="s">
        <v>983</v>
      </c>
      <c r="E101" s="538" t="s">
        <v>1458</v>
      </c>
      <c r="F101" s="538" t="s">
        <v>1769</v>
      </c>
    </row>
    <row r="102" spans="1:6" s="537" customFormat="1" x14ac:dyDescent="0.25">
      <c r="A102" s="550" t="str">
        <f t="shared" si="6"/>
        <v>04-D-097</v>
      </c>
      <c r="B102" s="787" t="str">
        <f t="shared" ca="1" si="5"/>
        <v>For each point that the prediction deviates from the outcome, $$ points deduction applies to a maximum of ## points per estimation question. By default they receive ##points for each estimation question.</v>
      </c>
      <c r="C102" s="537" t="s">
        <v>1181</v>
      </c>
      <c r="D102" s="537" t="s">
        <v>982</v>
      </c>
      <c r="E102" s="537" t="s">
        <v>1459</v>
      </c>
      <c r="F102" s="537" t="s">
        <v>1770</v>
      </c>
    </row>
    <row r="103" spans="1:6" s="538" customFormat="1" x14ac:dyDescent="0.25">
      <c r="A103" s="549" t="str">
        <f t="shared" si="6"/>
        <v>04-D-098</v>
      </c>
      <c r="B103" s="788" t="str">
        <f t="shared" ca="1" si="5"/>
        <v>For each estimation question, the prediction that is closest to the outcome is rewarded with ## point.</v>
      </c>
      <c r="C103" s="538" t="s">
        <v>1182</v>
      </c>
      <c r="D103" s="538" t="s">
        <v>979</v>
      </c>
      <c r="E103" s="538" t="s">
        <v>1460</v>
      </c>
      <c r="F103" s="538" t="s">
        <v>1771</v>
      </c>
    </row>
    <row r="104" spans="1:6" s="537" customFormat="1" x14ac:dyDescent="0.25">
      <c r="A104" s="550" t="str">
        <f t="shared" si="6"/>
        <v>04-D-099</v>
      </c>
      <c r="B104" s="787" t="str">
        <f t="shared" ca="1" si="5"/>
        <v>For each estimation question, the prediction that is closest to the outcome is rewarded with ## points.</v>
      </c>
      <c r="C104" s="537" t="s">
        <v>1183</v>
      </c>
      <c r="D104" s="537" t="s">
        <v>977</v>
      </c>
      <c r="E104" s="537" t="s">
        <v>1461</v>
      </c>
      <c r="F104" s="537" t="s">
        <v>1772</v>
      </c>
    </row>
    <row r="105" spans="1:6" s="538" customFormat="1" x14ac:dyDescent="0.25">
      <c r="A105" s="549" t="str">
        <f t="shared" si="6"/>
        <v>04-D-100</v>
      </c>
      <c r="B105" s="788" t="str">
        <f t="shared" ca="1" si="5"/>
        <v>For each estimation question, the $$ predictions that are closest to the outcome are rewarded with ## point.</v>
      </c>
      <c r="C105" s="538" t="s">
        <v>1184</v>
      </c>
      <c r="D105" s="538" t="s">
        <v>980</v>
      </c>
      <c r="E105" s="538" t="s">
        <v>1462</v>
      </c>
      <c r="F105" s="538" t="s">
        <v>1773</v>
      </c>
    </row>
    <row r="106" spans="1:6" s="537" customFormat="1" x14ac:dyDescent="0.25">
      <c r="A106" s="550" t="str">
        <f t="shared" si="6"/>
        <v>04-D-101</v>
      </c>
      <c r="B106" s="787" t="str">
        <f t="shared" ca="1" si="5"/>
        <v>For each estimation question, the $$ predictions that are closest to the outcome are rewarded with ## points.</v>
      </c>
      <c r="C106" s="537" t="s">
        <v>1185</v>
      </c>
      <c r="D106" s="537" t="s">
        <v>978</v>
      </c>
      <c r="E106" s="537" t="s">
        <v>1463</v>
      </c>
      <c r="F106" s="537" t="s">
        <v>1774</v>
      </c>
    </row>
    <row r="107" spans="1:6" s="538" customFormat="1" x14ac:dyDescent="0.25">
      <c r="A107" s="549" t="str">
        <f t="shared" si="6"/>
        <v>04-D-102</v>
      </c>
      <c r="B107" s="788" t="str">
        <f t="shared" ca="1" si="5"/>
        <v>Total number of goals scored during the entire tournament</v>
      </c>
      <c r="C107" s="538" t="s">
        <v>971</v>
      </c>
      <c r="D107" s="538" t="s">
        <v>986</v>
      </c>
      <c r="E107" s="538" t="s">
        <v>1464</v>
      </c>
      <c r="F107" s="538" t="s">
        <v>1775</v>
      </c>
    </row>
    <row r="108" spans="1:6" s="537" customFormat="1" x14ac:dyDescent="0.25">
      <c r="A108" s="550" t="str">
        <f t="shared" si="6"/>
        <v>04-D-103</v>
      </c>
      <c r="B108" s="787" t="str">
        <f t="shared" ca="1" si="5"/>
        <v>Total number of yellow cards given during the entire tournament</v>
      </c>
      <c r="C108" s="537" t="s">
        <v>968</v>
      </c>
      <c r="D108" s="537" t="s">
        <v>984</v>
      </c>
      <c r="E108" s="537" t="s">
        <v>1465</v>
      </c>
      <c r="F108" s="537" t="s">
        <v>1776</v>
      </c>
    </row>
    <row r="109" spans="1:6" s="538" customFormat="1" x14ac:dyDescent="0.25">
      <c r="A109" s="549" t="str">
        <f t="shared" si="6"/>
        <v>04-D-104</v>
      </c>
      <c r="B109" s="788" t="str">
        <f t="shared" ca="1" si="5"/>
        <v>Total number of red cards given during the entire tournament</v>
      </c>
      <c r="C109" s="538" t="s">
        <v>969</v>
      </c>
      <c r="D109" s="538" t="s">
        <v>985</v>
      </c>
      <c r="E109" s="538" t="s">
        <v>1466</v>
      </c>
      <c r="F109" s="538" t="s">
        <v>1777</v>
      </c>
    </row>
    <row r="110" spans="1:6" s="537" customFormat="1" x14ac:dyDescent="0.25">
      <c r="A110" s="550" t="str">
        <f t="shared" si="6"/>
        <v>04-D-105</v>
      </c>
      <c r="B110" s="787" t="str">
        <f t="shared" ca="1" si="5"/>
        <v>Number of matches that end in a draw for both teams</v>
      </c>
      <c r="C110" s="537" t="s">
        <v>970</v>
      </c>
      <c r="D110" s="537" t="s">
        <v>987</v>
      </c>
      <c r="E110" s="537" t="s">
        <v>1467</v>
      </c>
      <c r="F110" s="537" t="s">
        <v>1778</v>
      </c>
    </row>
    <row r="111" spans="1:6" s="538" customFormat="1" x14ac:dyDescent="0.25">
      <c r="A111" s="549" t="str">
        <f t="shared" si="6"/>
        <v>04-D-106</v>
      </c>
      <c r="B111" s="788" t="str">
        <f t="shared" ca="1" si="5"/>
        <v>Number of matches that end in a win for one of the teams</v>
      </c>
      <c r="C111" s="538" t="s">
        <v>972</v>
      </c>
      <c r="D111" s="538" t="s">
        <v>988</v>
      </c>
      <c r="E111" s="538" t="s">
        <v>1468</v>
      </c>
      <c r="F111" s="538" t="s">
        <v>1779</v>
      </c>
    </row>
    <row r="112" spans="1:6" s="537" customFormat="1" x14ac:dyDescent="0.25">
      <c r="A112" s="550" t="str">
        <f t="shared" si="6"/>
        <v>04-D-107</v>
      </c>
      <c r="B112" s="787" t="str">
        <f t="shared" ca="1" si="5"/>
        <v>two yellow cards for one player in a match will be counted as one red card.</v>
      </c>
      <c r="C112" s="537" t="s">
        <v>989</v>
      </c>
      <c r="D112" s="537" t="s">
        <v>990</v>
      </c>
      <c r="E112" s="537" t="s">
        <v>1469</v>
      </c>
      <c r="F112" s="537" t="s">
        <v>1780</v>
      </c>
    </row>
    <row r="113" spans="1:6" s="538" customFormat="1" x14ac:dyDescent="0.25">
      <c r="A113" s="549" t="str">
        <f t="shared" si="6"/>
        <v>04-D-108</v>
      </c>
      <c r="B113" s="788" t="str">
        <f t="shared" ca="1" si="5"/>
        <v>the score after the regular playing time including injury time is normative.</v>
      </c>
      <c r="C113" s="538" t="s">
        <v>973</v>
      </c>
      <c r="D113" s="538" t="s">
        <v>991</v>
      </c>
      <c r="E113" s="538" t="s">
        <v>1470</v>
      </c>
      <c r="F113" s="538" t="s">
        <v>1781</v>
      </c>
    </row>
    <row r="114" spans="1:6" s="537" customFormat="1" x14ac:dyDescent="0.25">
      <c r="A114" s="550" t="str">
        <f t="shared" si="6"/>
        <v>04-D-109</v>
      </c>
      <c r="B114" s="787" t="str">
        <f t="shared" ca="1" si="5"/>
        <v>the score after the regular playing time, injury time and possible extra time is normative.</v>
      </c>
      <c r="C114" s="537" t="s">
        <v>974</v>
      </c>
      <c r="D114" s="537" t="s">
        <v>992</v>
      </c>
      <c r="E114" s="537" t="s">
        <v>1471</v>
      </c>
      <c r="F114" s="537" t="s">
        <v>1782</v>
      </c>
    </row>
    <row r="115" spans="1:6" s="538" customFormat="1" x14ac:dyDescent="0.25">
      <c r="A115" s="549" t="str">
        <f t="shared" si="6"/>
        <v>04-D-110</v>
      </c>
      <c r="B115" s="788" t="str">
        <f t="shared" ca="1" si="5"/>
        <v>HINT</v>
      </c>
      <c r="C115" s="538" t="s">
        <v>993</v>
      </c>
      <c r="D115" s="538" t="s">
        <v>994</v>
      </c>
      <c r="E115" s="538" t="s">
        <v>1472</v>
      </c>
      <c r="F115" s="538" t="s">
        <v>1783</v>
      </c>
    </row>
    <row r="116" spans="1:6" s="537" customFormat="1" x14ac:dyDescent="0.25">
      <c r="A116" s="550" t="str">
        <f t="shared" si="6"/>
        <v>04-D-111</v>
      </c>
      <c r="B116" s="787" t="str">
        <f t="shared" ca="1" si="5"/>
        <v>The tournament consists of 51 matches of which 36 group matches and 15 finals.</v>
      </c>
      <c r="C116" s="537" t="s">
        <v>2339</v>
      </c>
      <c r="D116" s="537" t="s">
        <v>2340</v>
      </c>
      <c r="E116" s="537" t="s">
        <v>2341</v>
      </c>
      <c r="F116" s="537" t="s">
        <v>2342</v>
      </c>
    </row>
    <row r="117" spans="1:6" s="538" customFormat="1" x14ac:dyDescent="0.25">
      <c r="A117" s="549" t="str">
        <f t="shared" si="6"/>
        <v>04-D-112</v>
      </c>
      <c r="B117" s="788" t="str">
        <f t="shared" ca="1" si="5"/>
        <v>The tournament</v>
      </c>
      <c r="C117" s="538" t="s">
        <v>1038</v>
      </c>
      <c r="D117" s="538" t="s">
        <v>1036</v>
      </c>
      <c r="E117" s="538" t="s">
        <v>1867</v>
      </c>
      <c r="F117" s="538" t="s">
        <v>1869</v>
      </c>
    </row>
    <row r="118" spans="1:6" s="537" customFormat="1" x14ac:dyDescent="0.25">
      <c r="A118" s="550" t="str">
        <f t="shared" si="6"/>
        <v>04-D-113</v>
      </c>
      <c r="B118" s="787" t="str">
        <f t="shared" ca="1" si="5"/>
        <v>consists of 51</v>
      </c>
      <c r="C118" s="537" t="s">
        <v>2344</v>
      </c>
      <c r="D118" s="537" t="s">
        <v>2346</v>
      </c>
      <c r="E118" s="537" t="s">
        <v>2349</v>
      </c>
      <c r="F118" s="537" t="s">
        <v>2352</v>
      </c>
    </row>
    <row r="119" spans="1:6" s="538" customFormat="1" x14ac:dyDescent="0.25">
      <c r="A119" s="549" t="str">
        <f t="shared" si="6"/>
        <v>04-D-114</v>
      </c>
      <c r="B119" s="788" t="str">
        <f t="shared" ca="1" si="5"/>
        <v>matches of which</v>
      </c>
      <c r="C119" s="538" t="s">
        <v>2345</v>
      </c>
      <c r="D119" s="538" t="s">
        <v>1037</v>
      </c>
      <c r="E119" s="538" t="s">
        <v>1868</v>
      </c>
      <c r="F119" s="538" t="s">
        <v>2353</v>
      </c>
    </row>
    <row r="120" spans="1:6" s="537" customFormat="1" x14ac:dyDescent="0.25">
      <c r="A120" s="550" t="str">
        <f t="shared" si="6"/>
        <v>04-D-115</v>
      </c>
      <c r="B120" s="787" t="str">
        <f t="shared" ca="1" si="5"/>
        <v>36 group matches</v>
      </c>
      <c r="C120" s="537" t="s">
        <v>2343</v>
      </c>
      <c r="D120" s="537" t="s">
        <v>2347</v>
      </c>
      <c r="E120" s="537" t="s">
        <v>2350</v>
      </c>
      <c r="F120" s="537" t="s">
        <v>2354</v>
      </c>
    </row>
    <row r="121" spans="1:6" s="538" customFormat="1" x14ac:dyDescent="0.25">
      <c r="A121" s="549" t="str">
        <f t="shared" si="6"/>
        <v>04-D-116</v>
      </c>
      <c r="B121" s="788" t="str">
        <f t="shared" ca="1" si="5"/>
        <v>and 15 finals.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The Theses</v>
      </c>
      <c r="C124" s="537" t="s">
        <v>297</v>
      </c>
      <c r="D124" s="537" t="s">
        <v>999</v>
      </c>
      <c r="E124" s="537" t="s">
        <v>1473</v>
      </c>
      <c r="F124" s="537" t="s">
        <v>1784</v>
      </c>
    </row>
    <row r="125" spans="1:6" s="538" customFormat="1" x14ac:dyDescent="0.25">
      <c r="A125" s="549" t="str">
        <f t="shared" si="6"/>
        <v>04-D-120</v>
      </c>
      <c r="B125" s="788" t="str">
        <f t="shared" ca="1" si="7"/>
        <v>You receive ## point for each correct answer.</v>
      </c>
      <c r="C125" s="538" t="s">
        <v>1028</v>
      </c>
      <c r="D125" s="538" t="s">
        <v>1030</v>
      </c>
      <c r="E125" s="538" t="s">
        <v>1474</v>
      </c>
      <c r="F125" s="538" t="s">
        <v>1785</v>
      </c>
    </row>
    <row r="126" spans="1:6" s="537" customFormat="1" x14ac:dyDescent="0.25">
      <c r="A126" s="550" t="str">
        <f t="shared" si="6"/>
        <v>04-D-121</v>
      </c>
      <c r="B126" s="787" t="str">
        <f t="shared" ca="1" si="7"/>
        <v>You receive ## points for each correct answer.</v>
      </c>
      <c r="C126" s="537" t="s">
        <v>1029</v>
      </c>
      <c r="D126" s="537" t="s">
        <v>1031</v>
      </c>
      <c r="E126" s="537" t="s">
        <v>1475</v>
      </c>
      <c r="F126" s="537" t="s">
        <v>1786</v>
      </c>
    </row>
    <row r="127" spans="1:6" s="538" customFormat="1" x14ac:dyDescent="0.25">
      <c r="A127" s="549" t="str">
        <f t="shared" si="6"/>
        <v>04-D-122</v>
      </c>
      <c r="B127" s="788" t="str">
        <f t="shared" ca="1" si="7"/>
        <v>True</v>
      </c>
      <c r="C127" s="538" t="s">
        <v>1032</v>
      </c>
      <c r="D127" s="538" t="s">
        <v>1034</v>
      </c>
      <c r="E127" s="538" t="s">
        <v>1923</v>
      </c>
      <c r="F127" s="538" t="s">
        <v>1787</v>
      </c>
    </row>
    <row r="128" spans="1:6" s="537" customFormat="1" x14ac:dyDescent="0.25">
      <c r="A128" s="550" t="str">
        <f t="shared" si="6"/>
        <v>04-D-123</v>
      </c>
      <c r="B128" s="787" t="str">
        <f t="shared" ca="1" si="7"/>
        <v>False</v>
      </c>
      <c r="C128" s="537" t="s">
        <v>1033</v>
      </c>
      <c r="D128" s="537" t="s">
        <v>1035</v>
      </c>
      <c r="E128" s="537" t="s">
        <v>1924</v>
      </c>
      <c r="F128" s="537" t="s">
        <v>1788</v>
      </c>
    </row>
    <row r="129" spans="1:8" s="824" customFormat="1" x14ac:dyDescent="0.25">
      <c r="A129" s="549" t="str">
        <f t="shared" si="6"/>
        <v>04-D-124</v>
      </c>
      <c r="B129" s="788" t="str">
        <f t="shared" ca="1" si="7"/>
        <v>As at EURO 2020, Belgium, England, France, Germany, Italy, the Netherlands, Portugal and Spain all made it to the eighth finals.</v>
      </c>
      <c r="C129" s="538" t="s">
        <v>2433</v>
      </c>
      <c r="D129" s="538" t="s">
        <v>2454</v>
      </c>
      <c r="E129" s="538" t="s">
        <v>2436</v>
      </c>
      <c r="F129" s="538" t="s">
        <v>2455</v>
      </c>
    </row>
    <row r="130" spans="1:8" s="825" customFormat="1" x14ac:dyDescent="0.25">
      <c r="A130" s="550" t="str">
        <f t="shared" si="6"/>
        <v>04-D-125</v>
      </c>
      <c r="B130" s="787" t="str">
        <f t="shared" ca="1" si="7"/>
        <v>Of the four teams that go through to the eighth finals as the best number 3, at least one also managed to reach the quarter-finals</v>
      </c>
      <c r="C130" s="537" t="s">
        <v>2408</v>
      </c>
      <c r="D130" s="537" t="s">
        <v>2409</v>
      </c>
      <c r="E130" s="537" t="s">
        <v>2410</v>
      </c>
      <c r="F130" s="537" t="s">
        <v>2411</v>
      </c>
    </row>
    <row r="131" spans="1:8" s="824" customFormat="1" x14ac:dyDescent="0.25">
      <c r="A131" s="549" t="str">
        <f t="shared" si="6"/>
        <v>04-D-126</v>
      </c>
      <c r="B131" s="788" t="str">
        <f t="shared" ca="1" si="7"/>
        <v>Of the six group winners, at least five manage to survive the round of 16 and thus reach the quarter-finals.</v>
      </c>
      <c r="C131" s="538" t="s">
        <v>2404</v>
      </c>
      <c r="D131" s="538" t="s">
        <v>2405</v>
      </c>
      <c r="E131" s="538" t="s">
        <v>2406</v>
      </c>
      <c r="F131" s="538" t="s">
        <v>2407</v>
      </c>
    </row>
    <row r="132" spans="1:8" s="825" customFormat="1" x14ac:dyDescent="0.25">
      <c r="A132" s="550" t="str">
        <f t="shared" si="6"/>
        <v>04-D-127</v>
      </c>
      <c r="B132" s="787" t="str">
        <f t="shared" ca="1" si="7"/>
        <v>Of the fifteen final matches, six matches or more are decided during the extra time or penalty series.</v>
      </c>
      <c r="C132" s="537" t="s">
        <v>2412</v>
      </c>
      <c r="D132" s="537" t="s">
        <v>2413</v>
      </c>
      <c r="E132" s="537" t="s">
        <v>2414</v>
      </c>
      <c r="F132" s="537" t="s">
        <v>2415</v>
      </c>
    </row>
    <row r="133" spans="1:8" s="824" customFormat="1" x14ac:dyDescent="0.25">
      <c r="A133" s="549" t="str">
        <f t="shared" si="6"/>
        <v>04-D-128</v>
      </c>
      <c r="B133" s="788" t="str">
        <f t="shared" ca="1" si="7"/>
        <v>The final of the tournament will be played by two countries that finished first in the group stage.</v>
      </c>
      <c r="C133" s="538" t="s">
        <v>2430</v>
      </c>
      <c r="D133" s="538" t="s">
        <v>2429</v>
      </c>
      <c r="E133" s="538" t="s">
        <v>2431</v>
      </c>
      <c r="F133" s="538" t="s">
        <v>2432</v>
      </c>
    </row>
    <row r="134" spans="1:8" s="825" customFormat="1" x14ac:dyDescent="0.25">
      <c r="A134" s="550" t="str">
        <f t="shared" si="6"/>
        <v>04-D-129</v>
      </c>
      <c r="B134" s="787" t="str">
        <f t="shared" ca="1" si="7"/>
        <v>At EURO 2020, England and Italy faced each other in the final. One or both teams manage to reach the final again this edition.</v>
      </c>
      <c r="C134" s="537" t="s">
        <v>2434</v>
      </c>
      <c r="D134" s="537" t="s">
        <v>2435</v>
      </c>
      <c r="E134" s="537" t="s">
        <v>2437</v>
      </c>
      <c r="F134" s="537" t="s">
        <v>2438</v>
      </c>
    </row>
    <row r="135" spans="1:8" s="824" customFormat="1" x14ac:dyDescent="0.25">
      <c r="A135" s="549" t="str">
        <f t="shared" si="6"/>
        <v>04-D-130</v>
      </c>
      <c r="B135" s="788" t="str">
        <f t="shared" ca="1" si="7"/>
        <v>The country that can call itself the European champion at the end of the tournament is one of the countries from group A, B or C.</v>
      </c>
      <c r="C135" s="538" t="s">
        <v>2425</v>
      </c>
      <c r="D135" s="538" t="s">
        <v>2426</v>
      </c>
      <c r="E135" s="538" t="s">
        <v>2427</v>
      </c>
      <c r="F135" s="538" t="s">
        <v>2428</v>
      </c>
    </row>
    <row r="136" spans="1:8" s="825" customFormat="1" x14ac:dyDescent="0.25">
      <c r="A136" s="550" t="str">
        <f t="shared" si="6"/>
        <v>04-D-131</v>
      </c>
      <c r="B136" s="787" t="str">
        <f t="shared" ca="1" si="7"/>
        <v>The winner of the tournament knows all his final matches, 4 matches, to win within the regular playing time (including injury time).</v>
      </c>
      <c r="C136" s="537" t="s">
        <v>1045</v>
      </c>
      <c r="D136" s="537" t="s">
        <v>1048</v>
      </c>
      <c r="E136" s="537" t="s">
        <v>1476</v>
      </c>
      <c r="F136" s="537" t="s">
        <v>1789</v>
      </c>
    </row>
    <row r="137" spans="1:8" s="824" customFormat="1" x14ac:dyDescent="0.25">
      <c r="A137" s="549" t="str">
        <f t="shared" si="6"/>
        <v>04-D-132</v>
      </c>
      <c r="B137" s="788" t="str">
        <f t="shared" ca="1" si="7"/>
        <v>The winner of the tournament has a superior goal difference compare to the other teams. In case of an equal goal difference, the goals scored are decisive.</v>
      </c>
      <c r="C137" s="538" t="s">
        <v>1050</v>
      </c>
      <c r="D137" s="538" t="s">
        <v>1049</v>
      </c>
      <c r="E137" s="538" t="s">
        <v>1477</v>
      </c>
      <c r="F137" s="538" t="s">
        <v>1790</v>
      </c>
      <c r="H137" s="824" t="s">
        <v>1791</v>
      </c>
    </row>
    <row r="138" spans="1:8" s="825" customFormat="1" x14ac:dyDescent="0.25">
      <c r="A138" s="550" t="str">
        <f t="shared" si="6"/>
        <v>04-D-133</v>
      </c>
      <c r="B138" s="787" t="str">
        <f t="shared" ca="1" si="7"/>
        <v>The winner of the tournament also supplies the top scorer of the tournament or one of the top scorers.</v>
      </c>
      <c r="C138" s="537" t="s">
        <v>2416</v>
      </c>
      <c r="D138" s="537" t="s">
        <v>1051</v>
      </c>
      <c r="E138" s="537" t="s">
        <v>1478</v>
      </c>
      <c r="F138" s="537" t="s">
        <v>1791</v>
      </c>
    </row>
    <row r="139" spans="1:8" s="824" customFormat="1" x14ac:dyDescent="0.25">
      <c r="A139" s="549" t="str">
        <f t="shared" si="6"/>
        <v>04-D-134</v>
      </c>
      <c r="B139" s="788" t="str">
        <f t="shared" ca="1" si="7"/>
        <v>During the tournament, a player manages to score three times or even more in one match. A so-called hat-trick. Goals during a penalty shootout do not count.</v>
      </c>
      <c r="C139" s="538" t="s">
        <v>1885</v>
      </c>
      <c r="D139" s="538" t="s">
        <v>1052</v>
      </c>
      <c r="E139" s="538" t="s">
        <v>1479</v>
      </c>
      <c r="F139" s="538" t="s">
        <v>1792</v>
      </c>
    </row>
    <row r="140" spans="1:8" s="825" customFormat="1" x14ac:dyDescent="0.25">
      <c r="A140" s="550" t="str">
        <f t="shared" si="6"/>
        <v>04-D-135</v>
      </c>
      <c r="B140" s="787" t="str">
        <f t="shared" ca="1" si="7"/>
        <v>All 24 participating countries have each scored at least once during the tournament.</v>
      </c>
      <c r="C140" s="537" t="s">
        <v>2417</v>
      </c>
      <c r="D140" s="537" t="s">
        <v>2418</v>
      </c>
      <c r="E140" s="537" t="s">
        <v>2420</v>
      </c>
      <c r="F140" s="537" t="s">
        <v>2419</v>
      </c>
    </row>
    <row r="141" spans="1:8" s="824" customFormat="1" x14ac:dyDescent="0.25">
      <c r="A141" s="549" t="str">
        <f t="shared" si="6"/>
        <v>04-D-136</v>
      </c>
      <c r="B141" s="788" t="str">
        <f t="shared" ca="1" si="7"/>
        <v>Of all the goals scored during the tournament, at least five are scored in their own goal.</v>
      </c>
      <c r="C141" s="538" t="s">
        <v>2421</v>
      </c>
      <c r="D141" s="538" t="s">
        <v>2422</v>
      </c>
      <c r="E141" s="538" t="s">
        <v>2423</v>
      </c>
      <c r="F141" s="538" t="s">
        <v>2424</v>
      </c>
    </row>
    <row r="142" spans="1:8" s="825" customFormat="1" x14ac:dyDescent="0.25">
      <c r="A142" s="550" t="str">
        <f t="shared" si="6"/>
        <v>04-D-137</v>
      </c>
      <c r="B142" s="787" t="str">
        <f t="shared" ca="1" si="7"/>
        <v>During the tournament, no more than six goals will be scored in one match (including any extra time).</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During the tournament, the referee manages to keep his cards in his pocket in two or more matches.</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insufficient data for suggestion</v>
      </c>
      <c r="C146" s="537" t="s">
        <v>1077</v>
      </c>
      <c r="D146" s="537" t="s">
        <v>1091</v>
      </c>
      <c r="E146" s="537" t="s">
        <v>1480</v>
      </c>
      <c r="F146" s="537" t="s">
        <v>1793</v>
      </c>
    </row>
    <row r="147" spans="1:6" s="538" customFormat="1" x14ac:dyDescent="0.25">
      <c r="A147" s="549" t="str">
        <f t="shared" si="6"/>
        <v>04-D-142</v>
      </c>
      <c r="B147" s="788" t="str">
        <f t="shared" ca="1" si="8"/>
        <v>no suggestion possible</v>
      </c>
      <c r="C147" s="538" t="s">
        <v>311</v>
      </c>
      <c r="D147" s="538" t="s">
        <v>1092</v>
      </c>
      <c r="E147" s="538" t="s">
        <v>1481</v>
      </c>
      <c r="F147" s="538" t="s">
        <v>1794</v>
      </c>
    </row>
    <row r="148" spans="1:6" s="537" customFormat="1" x14ac:dyDescent="0.25">
      <c r="A148" s="550" t="str">
        <f t="shared" si="6"/>
        <v>04-D-143</v>
      </c>
      <c r="B148" s="787" t="str">
        <f t="shared" ca="1" si="8"/>
        <v>suggestion is based on the group matches only</v>
      </c>
      <c r="C148" s="537" t="s">
        <v>1083</v>
      </c>
      <c r="D148" s="537" t="s">
        <v>1093</v>
      </c>
      <c r="E148" s="537" t="s">
        <v>1482</v>
      </c>
      <c r="F148" s="537" t="s">
        <v>1795</v>
      </c>
    </row>
    <row r="149" spans="1:6" s="538" customFormat="1" x14ac:dyDescent="0.25">
      <c r="A149" s="549" t="str">
        <f t="shared" si="6"/>
        <v>04-D-144</v>
      </c>
      <c r="B149" s="788" t="str">
        <f t="shared" ca="1" si="8"/>
        <v>matches in which the decision is made during extra time are not counted</v>
      </c>
      <c r="C149" s="538" t="s">
        <v>1899</v>
      </c>
      <c r="D149" s="538" t="s">
        <v>1897</v>
      </c>
      <c r="E149" s="538" t="s">
        <v>1903</v>
      </c>
      <c r="F149" s="538" t="s">
        <v>1902</v>
      </c>
    </row>
    <row r="150" spans="1:6" s="537" customFormat="1" x14ac:dyDescent="0.25">
      <c r="A150" s="550" t="str">
        <f t="shared" si="6"/>
        <v>04-D-145</v>
      </c>
      <c r="B150" s="787" t="str">
        <f t="shared" ca="1" si="8"/>
        <v>goals scored during any extra time are not counted</v>
      </c>
      <c r="C150" s="537" t="s">
        <v>1896</v>
      </c>
      <c r="D150" s="537" t="s">
        <v>1898</v>
      </c>
      <c r="E150" s="537" t="s">
        <v>1900</v>
      </c>
      <c r="F150" s="537" t="s">
        <v>1901</v>
      </c>
    </row>
    <row r="151" spans="1:6" s="538" customFormat="1" x14ac:dyDescent="0.25">
      <c r="A151" s="549" t="str">
        <f t="shared" si="6"/>
        <v>04-D-146</v>
      </c>
      <c r="B151" s="788" t="str">
        <f t="shared" ca="1" si="8"/>
        <v>goal</v>
      </c>
      <c r="C151" s="538" t="s">
        <v>1078</v>
      </c>
      <c r="D151" s="538" t="s">
        <v>1085</v>
      </c>
      <c r="E151" s="538" t="s">
        <v>1483</v>
      </c>
      <c r="F151" s="538" t="s">
        <v>1796</v>
      </c>
    </row>
    <row r="152" spans="1:6" s="537" customFormat="1" x14ac:dyDescent="0.25">
      <c r="A152" s="550" t="str">
        <f t="shared" si="6"/>
        <v>04-D-147</v>
      </c>
      <c r="B152" s="787" t="str">
        <f t="shared" ca="1" si="8"/>
        <v>goals</v>
      </c>
      <c r="C152" s="537" t="s">
        <v>1079</v>
      </c>
      <c r="D152" s="537" t="s">
        <v>1086</v>
      </c>
      <c r="E152" s="537" t="s">
        <v>1484</v>
      </c>
      <c r="F152" s="537" t="s">
        <v>1796</v>
      </c>
    </row>
    <row r="153" spans="1:6" s="538" customFormat="1" x14ac:dyDescent="0.25">
      <c r="A153" s="549" t="str">
        <f t="shared" si="6"/>
        <v>04-D-148</v>
      </c>
      <c r="B153" s="788" t="str">
        <f t="shared" ca="1" si="8"/>
        <v>no draw predicted</v>
      </c>
      <c r="C153" s="538" t="s">
        <v>1080</v>
      </c>
      <c r="D153" s="538" t="s">
        <v>1087</v>
      </c>
      <c r="E153" s="538" t="s">
        <v>1485</v>
      </c>
      <c r="F153" s="538" t="s">
        <v>1797</v>
      </c>
    </row>
    <row r="154" spans="1:6" s="537" customFormat="1" x14ac:dyDescent="0.25">
      <c r="A154" s="550" t="str">
        <f t="shared" si="6"/>
        <v>04-D-149</v>
      </c>
      <c r="B154" s="787" t="str">
        <f t="shared" ca="1" si="8"/>
        <v>times draw predicted</v>
      </c>
      <c r="C154" s="537" t="s">
        <v>1081</v>
      </c>
      <c r="D154" s="537" t="s">
        <v>1088</v>
      </c>
      <c r="E154" s="537" t="s">
        <v>1486</v>
      </c>
      <c r="F154" s="537" t="s">
        <v>1798</v>
      </c>
    </row>
    <row r="155" spans="1:6" s="538" customFormat="1" x14ac:dyDescent="0.25">
      <c r="A155" s="549" t="str">
        <f t="shared" si="6"/>
        <v>04-D-150</v>
      </c>
      <c r="B155" s="788" t="str">
        <f t="shared" ca="1" si="8"/>
        <v>no win / loss predicted</v>
      </c>
      <c r="C155" s="538" t="s">
        <v>1084</v>
      </c>
      <c r="D155" s="538" t="s">
        <v>1089</v>
      </c>
      <c r="E155" s="538" t="s">
        <v>1487</v>
      </c>
      <c r="F155" s="538" t="s">
        <v>1799</v>
      </c>
    </row>
    <row r="156" spans="1:6" s="537" customFormat="1" x14ac:dyDescent="0.25">
      <c r="A156" s="550" t="str">
        <f t="shared" si="6"/>
        <v>04-D-151</v>
      </c>
      <c r="B156" s="787" t="str">
        <f t="shared" ca="1" si="8"/>
        <v>times win / loss predicted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The Participation Code</v>
      </c>
      <c r="C159" s="538" t="s">
        <v>326</v>
      </c>
      <c r="D159" s="538" t="s">
        <v>1094</v>
      </c>
      <c r="E159" s="538" t="s">
        <v>1489</v>
      </c>
      <c r="F159" s="538" t="s">
        <v>1801</v>
      </c>
    </row>
    <row r="160" spans="1:6" s="537" customFormat="1" x14ac:dyDescent="0.25">
      <c r="A160" s="550" t="str">
        <f t="shared" si="6"/>
        <v>04-D-155</v>
      </c>
      <c r="B160" s="787" t="str">
        <f ca="1">TRIM(INDIRECT(CHAR(64+$C$2)&amp;ROW()))</f>
        <v>Checking the Form's Input Fields</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Name Participant</v>
      </c>
      <c r="C162" s="537" t="s">
        <v>1097</v>
      </c>
      <c r="D162" s="537" t="s">
        <v>1147</v>
      </c>
      <c r="E162" s="537" t="s">
        <v>1491</v>
      </c>
      <c r="F162" s="537" t="s">
        <v>1803</v>
      </c>
    </row>
    <row r="163" spans="1:6" s="538" customFormat="1" x14ac:dyDescent="0.25">
      <c r="A163" s="549" t="str">
        <f t="shared" si="6"/>
        <v>04-D-158</v>
      </c>
      <c r="B163" s="788" t="str">
        <f t="shared" ca="1" si="9"/>
        <v>Generating the name code is not possible due to the lack of your name. Enter your name at the top of</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the "Group Matches" worksheet.</v>
      </c>
      <c r="C164" s="537" t="s">
        <v>500</v>
      </c>
      <c r="D164" s="537" t="s">
        <v>1099</v>
      </c>
      <c r="E164" s="537" t="s">
        <v>1493</v>
      </c>
      <c r="F164" s="537" t="s">
        <v>1805</v>
      </c>
    </row>
    <row r="165" spans="1:6" s="538" customFormat="1" x14ac:dyDescent="0.25">
      <c r="A165" s="549" t="str">
        <f t="shared" si="10"/>
        <v>04-D-160</v>
      </c>
      <c r="B165" s="788" t="str">
        <f t="shared" ca="1" si="9"/>
        <v>Generating the name code is not possible due to the lack of your e-mail address. Enter your e-mail</v>
      </c>
      <c r="C165" s="538" t="s">
        <v>503</v>
      </c>
      <c r="D165" s="538" t="s">
        <v>1100</v>
      </c>
      <c r="E165" s="538" t="s">
        <v>1494</v>
      </c>
      <c r="F165" s="538" t="s">
        <v>1806</v>
      </c>
    </row>
    <row r="166" spans="1:6" s="537" customFormat="1" x14ac:dyDescent="0.25">
      <c r="A166" s="550" t="str">
        <f t="shared" si="10"/>
        <v>04-D-161</v>
      </c>
      <c r="B166" s="787" t="str">
        <f t="shared" ca="1" si="9"/>
        <v>address at the top of the "Group competitions" worksheet.</v>
      </c>
      <c r="C166" s="537" t="s">
        <v>502</v>
      </c>
      <c r="D166" s="537" t="s">
        <v>1101</v>
      </c>
      <c r="E166" s="537" t="s">
        <v>1495</v>
      </c>
      <c r="F166" s="537" t="s">
        <v>1807</v>
      </c>
    </row>
    <row r="167" spans="1:6" s="538" customFormat="1" x14ac:dyDescent="0.25">
      <c r="A167" s="549" t="str">
        <f t="shared" si="10"/>
        <v>04-D-162</v>
      </c>
      <c r="B167" s="788" t="str">
        <f t="shared" ca="1" si="9"/>
        <v>Generating the name code including e-mail address is not possible due to the lack of data. Enter</v>
      </c>
      <c r="C167" s="538" t="s">
        <v>510</v>
      </c>
      <c r="D167" s="538" t="s">
        <v>1102</v>
      </c>
      <c r="E167" s="538" t="s">
        <v>1496</v>
      </c>
      <c r="F167" s="538" t="s">
        <v>1808</v>
      </c>
    </row>
    <row r="168" spans="1:6" s="537" customFormat="1" x14ac:dyDescent="0.25">
      <c r="A168" s="550" t="str">
        <f t="shared" si="10"/>
        <v>04-D-163</v>
      </c>
      <c r="B168" s="787" t="str">
        <f t="shared" ca="1" si="9"/>
        <v>your name and e-mail address at the top of the "Group Matches" worksheet.</v>
      </c>
      <c r="C168" s="537" t="s">
        <v>509</v>
      </c>
      <c r="D168" s="537" t="s">
        <v>1103</v>
      </c>
      <c r="E168" s="537" t="s">
        <v>1497</v>
      </c>
      <c r="F168" s="537" t="s">
        <v>1809</v>
      </c>
    </row>
    <row r="169" spans="1:6" s="538" customFormat="1" x14ac:dyDescent="0.25">
      <c r="A169" s="549" t="str">
        <f t="shared" si="10"/>
        <v>04-D-164</v>
      </c>
      <c r="B169" s="788" t="str">
        <f t="shared" ca="1" si="9"/>
        <v>An error was detected when generating the name code. Check your name at the top of the</v>
      </c>
      <c r="C169" s="538" t="s">
        <v>506</v>
      </c>
      <c r="D169" s="538" t="s">
        <v>1106</v>
      </c>
      <c r="E169" s="538" t="s">
        <v>1498</v>
      </c>
      <c r="F169" s="538" t="s">
        <v>1810</v>
      </c>
    </row>
    <row r="170" spans="1:6" s="537" customFormat="1" x14ac:dyDescent="0.25">
      <c r="A170" s="550" t="str">
        <f t="shared" si="10"/>
        <v>04-D-165</v>
      </c>
      <c r="B170" s="787" t="str">
        <f t="shared" ca="1" si="9"/>
        <v>"Group Matches" worksheet.</v>
      </c>
      <c r="C170" s="537" t="s">
        <v>504</v>
      </c>
      <c r="D170" s="537" t="s">
        <v>1107</v>
      </c>
      <c r="E170" s="537" t="s">
        <v>1499</v>
      </c>
      <c r="F170" s="537" t="s">
        <v>1811</v>
      </c>
    </row>
    <row r="171" spans="1:6" s="538" customFormat="1" x14ac:dyDescent="0.25">
      <c r="A171" s="549" t="str">
        <f t="shared" si="10"/>
        <v>04-D-166</v>
      </c>
      <c r="B171" s="788" t="str">
        <f t="shared" ca="1" si="9"/>
        <v>An error was detected when generating the name code. Check your e-mail address at the top of</v>
      </c>
      <c r="C171" s="538" t="s">
        <v>505</v>
      </c>
      <c r="D171" s="538" t="s">
        <v>1108</v>
      </c>
      <c r="E171" s="538" t="s">
        <v>1500</v>
      </c>
      <c r="F171" s="538" t="s">
        <v>1812</v>
      </c>
    </row>
    <row r="172" spans="1:6" s="537" customFormat="1" x14ac:dyDescent="0.25">
      <c r="A172" s="550" t="str">
        <f t="shared" si="10"/>
        <v>04-D-167</v>
      </c>
      <c r="B172" s="787" t="str">
        <f t="shared" ca="1" si="9"/>
        <v>the "Group Matches" worksheet.</v>
      </c>
      <c r="C172" s="537" t="s">
        <v>504</v>
      </c>
      <c r="D172" s="537" t="s">
        <v>1099</v>
      </c>
      <c r="E172" s="537" t="s">
        <v>1493</v>
      </c>
      <c r="F172" s="537" t="s">
        <v>1811</v>
      </c>
    </row>
    <row r="173" spans="1:6" s="538" customFormat="1" x14ac:dyDescent="0.25">
      <c r="A173" s="549" t="str">
        <f t="shared" si="10"/>
        <v>04-D-168</v>
      </c>
      <c r="B173" s="788" t="str">
        <f t="shared" ca="1" si="9"/>
        <v>An error was detected when generating the name code with e-mail address. Check your name</v>
      </c>
      <c r="C173" s="538" t="s">
        <v>508</v>
      </c>
      <c r="D173" s="538" t="s">
        <v>1109</v>
      </c>
      <c r="E173" s="538" t="s">
        <v>1501</v>
      </c>
      <c r="F173" s="538" t="s">
        <v>1813</v>
      </c>
    </row>
    <row r="174" spans="1:6" s="537" customFormat="1" x14ac:dyDescent="0.25">
      <c r="A174" s="550" t="str">
        <f t="shared" si="10"/>
        <v>04-D-169</v>
      </c>
      <c r="B174" s="787" t="str">
        <f t="shared" ca="1" si="9"/>
        <v>and e-mail address at the top of the "Group Matches" worksheet.</v>
      </c>
      <c r="C174" s="537" t="s">
        <v>507</v>
      </c>
      <c r="D174" s="537" t="s">
        <v>1110</v>
      </c>
      <c r="E174" s="537" t="s">
        <v>1502</v>
      </c>
      <c r="F174" s="537" t="s">
        <v>1807</v>
      </c>
    </row>
    <row r="175" spans="1:6" s="538" customFormat="1" x14ac:dyDescent="0.25">
      <c r="A175" s="549" t="str">
        <f t="shared" si="10"/>
        <v>04-D-170</v>
      </c>
      <c r="B175" s="788" t="str">
        <f t="shared" ca="1" si="9"/>
        <v>The name code is generated without any errors.</v>
      </c>
      <c r="C175" s="538" t="s">
        <v>331</v>
      </c>
      <c r="D175" s="538" t="s">
        <v>1105</v>
      </c>
      <c r="E175" s="538" t="s">
        <v>1503</v>
      </c>
      <c r="F175" s="538" t="s">
        <v>1814</v>
      </c>
    </row>
    <row r="176" spans="1:6" s="537" customFormat="1" x14ac:dyDescent="0.25">
      <c r="A176" s="550" t="str">
        <f t="shared" si="10"/>
        <v>04-D-171</v>
      </c>
      <c r="B176" s="787" t="str">
        <f t="shared" ca="1" si="9"/>
        <v>The name code including e-mail address is generated without any errors.</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Predictions Group Matches</v>
      </c>
      <c r="C178" s="537" t="s">
        <v>1111</v>
      </c>
      <c r="D178" s="537" t="s">
        <v>1112</v>
      </c>
      <c r="E178" s="537" t="s">
        <v>1505</v>
      </c>
      <c r="F178" s="537" t="s">
        <v>1816</v>
      </c>
    </row>
    <row r="179" spans="1:6" s="538" customFormat="1" x14ac:dyDescent="0.25">
      <c r="A179" s="549" t="str">
        <f t="shared" si="10"/>
        <v>04-D-174</v>
      </c>
      <c r="B179" s="788" t="str">
        <f t="shared" ca="1" si="9"/>
        <v>It is not possible to generate the participation code for the group matches due to the lack of data.</v>
      </c>
      <c r="C179" s="538" t="s">
        <v>335</v>
      </c>
      <c r="D179" s="538" t="s">
        <v>1114</v>
      </c>
      <c r="E179" s="538" t="s">
        <v>1506</v>
      </c>
      <c r="F179" s="538" t="s">
        <v>1817</v>
      </c>
    </row>
    <row r="180" spans="1:6" s="537" customFormat="1" x14ac:dyDescent="0.25">
      <c r="A180" s="550" t="str">
        <f t="shared" si="10"/>
        <v>04-D-175</v>
      </c>
      <c r="B180" s="787" t="str">
        <f t="shared" ca="1" si="9"/>
        <v>Check that all fields are filled in on the "Group Matches" worksheet.</v>
      </c>
      <c r="C180" s="537" t="s">
        <v>491</v>
      </c>
      <c r="D180" s="537" t="s">
        <v>1115</v>
      </c>
      <c r="E180" s="537" t="s">
        <v>1507</v>
      </c>
      <c r="F180" s="537" t="s">
        <v>1818</v>
      </c>
    </row>
    <row r="181" spans="1:6" s="538" customFormat="1" x14ac:dyDescent="0.25">
      <c r="A181" s="549" t="str">
        <f t="shared" si="10"/>
        <v>04-D-176</v>
      </c>
      <c r="B181" s="788" t="str">
        <f t="shared" ca="1" si="9"/>
        <v>An error was detected when generating the participation code for the group matches. Check your</v>
      </c>
      <c r="C181" s="538" t="s">
        <v>337</v>
      </c>
      <c r="D181" s="538" t="s">
        <v>1116</v>
      </c>
      <c r="E181" s="538" t="s">
        <v>1508</v>
      </c>
      <c r="F181" s="538" t="s">
        <v>1819</v>
      </c>
    </row>
    <row r="182" spans="1:6" s="537" customFormat="1" x14ac:dyDescent="0.25">
      <c r="A182" s="550" t="str">
        <f t="shared" si="10"/>
        <v>04-D-177</v>
      </c>
      <c r="B182" s="787" t="str">
        <f t="shared" ca="1" si="9"/>
        <v>entry on the "Group Matches" worksheet.</v>
      </c>
      <c r="C182" s="537" t="s">
        <v>492</v>
      </c>
      <c r="D182" s="537" t="s">
        <v>1117</v>
      </c>
      <c r="E182" s="537" t="s">
        <v>1509</v>
      </c>
      <c r="F182" s="537" t="s">
        <v>1820</v>
      </c>
    </row>
    <row r="183" spans="1:6" s="538" customFormat="1" x14ac:dyDescent="0.25">
      <c r="A183" s="549" t="str">
        <f t="shared" si="10"/>
        <v>04-D-178</v>
      </c>
      <c r="B183" s="788" t="str">
        <f t="shared" ca="1" si="9"/>
        <v>Errors were found when generating the participation code for the group matches. Check your entry</v>
      </c>
      <c r="C183" s="538" t="s">
        <v>339</v>
      </c>
      <c r="D183" s="538" t="s">
        <v>1118</v>
      </c>
      <c r="E183" s="538" t="s">
        <v>1510</v>
      </c>
      <c r="F183" s="538" t="s">
        <v>1821</v>
      </c>
    </row>
    <row r="184" spans="1:6" s="537" customFormat="1" x14ac:dyDescent="0.25">
      <c r="A184" s="550" t="str">
        <f t="shared" si="10"/>
        <v>04-D-179</v>
      </c>
      <c r="B184" s="787" t="str">
        <f t="shared" ca="1" si="9"/>
        <v>on the "Group Matches" worksheet.</v>
      </c>
      <c r="C184" s="537" t="s">
        <v>492</v>
      </c>
      <c r="D184" s="537" t="s">
        <v>1119</v>
      </c>
      <c r="E184" s="537" t="s">
        <v>1511</v>
      </c>
      <c r="F184" s="537" t="s">
        <v>1822</v>
      </c>
    </row>
    <row r="185" spans="1:6" s="538" customFormat="1" x14ac:dyDescent="0.25">
      <c r="A185" s="549" t="str">
        <f t="shared" si="10"/>
        <v>04-D-180</v>
      </c>
      <c r="B185" s="788" t="str">
        <f t="shared" ca="1" si="9"/>
        <v>The participation code for the group matches is generated without errors.</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Predictions Final Ranking Group Stage</v>
      </c>
      <c r="C187" s="538" t="s">
        <v>1125</v>
      </c>
      <c r="D187" s="538" t="s">
        <v>1146</v>
      </c>
      <c r="E187" s="538" t="s">
        <v>1513</v>
      </c>
      <c r="F187" s="538" t="s">
        <v>1824</v>
      </c>
    </row>
    <row r="188" spans="1:6" s="537" customFormat="1" x14ac:dyDescent="0.25">
      <c r="A188" s="550" t="str">
        <f t="shared" si="10"/>
        <v>04-D-183</v>
      </c>
      <c r="B188" s="787" t="str">
        <f t="shared" ca="1" si="9"/>
        <v>It is not possible to generate the participation code for the final ranking in the group due to the lack</v>
      </c>
      <c r="C188" s="537" t="s">
        <v>391</v>
      </c>
      <c r="D188" s="537" t="s">
        <v>1132</v>
      </c>
      <c r="E188" s="537" t="s">
        <v>1514</v>
      </c>
      <c r="F188" s="537" t="s">
        <v>1825</v>
      </c>
    </row>
    <row r="189" spans="1:6" s="538" customFormat="1" x14ac:dyDescent="0.25">
      <c r="A189" s="549" t="str">
        <f t="shared" si="10"/>
        <v>04-D-184</v>
      </c>
      <c r="B189" s="788" t="str">
        <f t="shared" ca="1" si="9"/>
        <v>of data. Check whether all fields are filled in on the "Final Ranking Group" worksheet.</v>
      </c>
      <c r="C189" s="538" t="s">
        <v>493</v>
      </c>
      <c r="D189" s="538" t="s">
        <v>1133</v>
      </c>
      <c r="E189" s="538" t="s">
        <v>1515</v>
      </c>
      <c r="F189" s="538" t="s">
        <v>1826</v>
      </c>
    </row>
    <row r="190" spans="1:6" s="537" customFormat="1" x14ac:dyDescent="0.25">
      <c r="A190" s="550" t="str">
        <f t="shared" si="10"/>
        <v>04-D-185</v>
      </c>
      <c r="B190" s="787" t="str">
        <f t="shared" ca="1" si="9"/>
        <v>An error was detected when generating the participation code for the final ranking in the group.</v>
      </c>
      <c r="C190" s="537" t="s">
        <v>392</v>
      </c>
      <c r="D190" s="537" t="s">
        <v>1134</v>
      </c>
      <c r="E190" s="537" t="s">
        <v>1516</v>
      </c>
      <c r="F190" s="537" t="s">
        <v>1827</v>
      </c>
    </row>
    <row r="191" spans="1:6" s="538" customFormat="1" x14ac:dyDescent="0.25">
      <c r="A191" s="549" t="str">
        <f t="shared" si="10"/>
        <v>04-D-186</v>
      </c>
      <c r="B191" s="788" t="str">
        <f t="shared" ca="1" si="9"/>
        <v>Check your entry on the "Final Ranking Group" worksheet.</v>
      </c>
      <c r="C191" s="538" t="s">
        <v>494</v>
      </c>
      <c r="D191" s="538" t="s">
        <v>1137</v>
      </c>
      <c r="E191" s="538" t="s">
        <v>1517</v>
      </c>
      <c r="F191" s="538" t="s">
        <v>1828</v>
      </c>
    </row>
    <row r="192" spans="1:6" s="537" customFormat="1" x14ac:dyDescent="0.25">
      <c r="A192" s="550" t="str">
        <f t="shared" si="10"/>
        <v>04-D-187</v>
      </c>
      <c r="B192" s="787" t="str">
        <f t="shared" ca="1" si="9"/>
        <v>Errors were found when generating the participation code for the final ranking in the group. Check</v>
      </c>
      <c r="C192" s="537" t="s">
        <v>393</v>
      </c>
      <c r="D192" s="537" t="s">
        <v>1135</v>
      </c>
      <c r="E192" s="537" t="s">
        <v>1518</v>
      </c>
      <c r="F192" s="537" t="s">
        <v>1829</v>
      </c>
    </row>
    <row r="193" spans="1:6" s="538" customFormat="1" x14ac:dyDescent="0.25">
      <c r="A193" s="549" t="str">
        <f t="shared" si="10"/>
        <v>04-D-188</v>
      </c>
      <c r="B193" s="788" t="str">
        <f t="shared" ca="1" si="9"/>
        <v>your entry on the "Final Ranking Group" worksheet.</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The participation code for the final ranking in the group is generated without errors.</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Predictions Final matches</v>
      </c>
      <c r="C196" s="537" t="s">
        <v>1124</v>
      </c>
      <c r="D196" s="537" t="s">
        <v>1123</v>
      </c>
      <c r="E196" s="537" t="s">
        <v>1521</v>
      </c>
      <c r="F196" s="537" t="s">
        <v>1832</v>
      </c>
    </row>
    <row r="197" spans="1:6" s="538" customFormat="1" x14ac:dyDescent="0.25">
      <c r="A197" s="549" t="str">
        <f t="shared" si="10"/>
        <v>04-D-192</v>
      </c>
      <c r="B197" s="788" t="str">
        <f t="shared" ca="1" si="11"/>
        <v>It is not possible to generate the participation code for the final matches due to the lack of data.</v>
      </c>
      <c r="C197" s="538" t="s">
        <v>348</v>
      </c>
      <c r="D197" s="538" t="s">
        <v>1126</v>
      </c>
      <c r="E197" s="538" t="s">
        <v>1522</v>
      </c>
      <c r="F197" s="538" t="s">
        <v>1833</v>
      </c>
    </row>
    <row r="198" spans="1:6" s="537" customFormat="1" x14ac:dyDescent="0.25">
      <c r="A198" s="550" t="str">
        <f t="shared" si="10"/>
        <v>04-D-193</v>
      </c>
      <c r="B198" s="787" t="str">
        <f t="shared" ca="1" si="11"/>
        <v>Check that all fields are filled in on the "Final Matches" worksheet.</v>
      </c>
      <c r="C198" s="537" t="s">
        <v>495</v>
      </c>
      <c r="D198" s="537" t="s">
        <v>1127</v>
      </c>
      <c r="E198" s="537" t="s">
        <v>1523</v>
      </c>
      <c r="F198" s="537" t="s">
        <v>1834</v>
      </c>
    </row>
    <row r="199" spans="1:6" s="538" customFormat="1" x14ac:dyDescent="0.25">
      <c r="A199" s="549" t="str">
        <f t="shared" si="10"/>
        <v>04-D-194</v>
      </c>
      <c r="B199" s="788" t="str">
        <f t="shared" ca="1" si="11"/>
        <v>An error was detected when generating the participation code for the final matches. Check your entry</v>
      </c>
      <c r="C199" s="538" t="s">
        <v>349</v>
      </c>
      <c r="D199" s="538" t="s">
        <v>1128</v>
      </c>
      <c r="E199" s="538" t="s">
        <v>1524</v>
      </c>
      <c r="F199" s="538" t="s">
        <v>1835</v>
      </c>
    </row>
    <row r="200" spans="1:6" s="537" customFormat="1" x14ac:dyDescent="0.25">
      <c r="A200" s="550" t="str">
        <f t="shared" si="10"/>
        <v>04-D-195</v>
      </c>
      <c r="B200" s="787" t="str">
        <f t="shared" ca="1" si="11"/>
        <v>on the "Final Matches" worksheet.</v>
      </c>
      <c r="C200" s="537" t="s">
        <v>496</v>
      </c>
      <c r="D200" s="537" t="s">
        <v>1129</v>
      </c>
      <c r="E200" s="537" t="s">
        <v>1525</v>
      </c>
      <c r="F200" s="537" t="s">
        <v>1836</v>
      </c>
    </row>
    <row r="201" spans="1:6" s="538" customFormat="1" x14ac:dyDescent="0.25">
      <c r="A201" s="549" t="str">
        <f t="shared" si="10"/>
        <v>04-D-196</v>
      </c>
      <c r="B201" s="788" t="str">
        <f t="shared" ca="1" si="11"/>
        <v>Errors were found when generating the participation code for the final matches. Check your entry on</v>
      </c>
      <c r="C201" s="538" t="s">
        <v>351</v>
      </c>
      <c r="D201" s="538" t="s">
        <v>1130</v>
      </c>
      <c r="E201" s="538" t="s">
        <v>1526</v>
      </c>
      <c r="F201" s="538" t="s">
        <v>1837</v>
      </c>
    </row>
    <row r="202" spans="1:6" s="537" customFormat="1" x14ac:dyDescent="0.25">
      <c r="A202" s="550" t="str">
        <f t="shared" si="10"/>
        <v>04-D-197</v>
      </c>
      <c r="B202" s="787" t="str">
        <f t="shared" ca="1" si="11"/>
        <v>the "Final Matches" worksheet.</v>
      </c>
      <c r="C202" s="537" t="s">
        <v>496</v>
      </c>
      <c r="D202" s="537" t="s">
        <v>1131</v>
      </c>
      <c r="E202" s="537" t="s">
        <v>1527</v>
      </c>
      <c r="F202" s="537" t="s">
        <v>1836</v>
      </c>
    </row>
    <row r="203" spans="1:6" s="538" customFormat="1" x14ac:dyDescent="0.25">
      <c r="A203" s="549" t="str">
        <f t="shared" si="10"/>
        <v>04-D-198</v>
      </c>
      <c r="B203" s="788" t="str">
        <f t="shared" ca="1" si="11"/>
        <v>The participation code for the final matches is generated without errors.</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Prediction Winner EURO 2024</v>
      </c>
      <c r="C205" s="538" t="s">
        <v>2355</v>
      </c>
      <c r="D205" s="538" t="s">
        <v>2356</v>
      </c>
      <c r="E205" s="538" t="s">
        <v>2357</v>
      </c>
      <c r="F205" s="538" t="s">
        <v>2358</v>
      </c>
    </row>
    <row r="206" spans="1:6" s="537" customFormat="1" x14ac:dyDescent="0.25">
      <c r="A206" s="550" t="str">
        <f t="shared" si="10"/>
        <v>04-D-201</v>
      </c>
      <c r="B206" s="787" t="str">
        <f t="shared" ca="1" si="11"/>
        <v>It is not possible to generate the participation code for the winner of the European Championship due</v>
      </c>
      <c r="C206" s="537" t="s">
        <v>2359</v>
      </c>
      <c r="D206" s="537" t="s">
        <v>2360</v>
      </c>
      <c r="E206" s="537" t="s">
        <v>2361</v>
      </c>
      <c r="F206" s="537" t="s">
        <v>2362</v>
      </c>
    </row>
    <row r="207" spans="1:6" s="538" customFormat="1" x14ac:dyDescent="0.25">
      <c r="A207" s="549" t="str">
        <f t="shared" si="10"/>
        <v>04-D-202</v>
      </c>
      <c r="B207" s="788" t="str">
        <f t="shared" ca="1" si="11"/>
        <v>to the lack of data. Predict the winner of the European Championship on the worksheet "Final Matches".</v>
      </c>
      <c r="C207" s="538" t="s">
        <v>2401</v>
      </c>
      <c r="D207" s="538" t="s">
        <v>2402</v>
      </c>
      <c r="E207" s="538" t="s">
        <v>2403</v>
      </c>
      <c r="F207" s="538" t="s">
        <v>2363</v>
      </c>
    </row>
    <row r="208" spans="1:6" s="537" customFormat="1" x14ac:dyDescent="0.25">
      <c r="A208" s="550" t="str">
        <f t="shared" si="10"/>
        <v>04-D-203</v>
      </c>
      <c r="B208" s="787" t="str">
        <f t="shared" ca="1" si="11"/>
        <v>An error was detected when generating the participation code for the winner of the European</v>
      </c>
      <c r="C208" s="537" t="s">
        <v>2364</v>
      </c>
      <c r="D208" s="537" t="s">
        <v>2365</v>
      </c>
      <c r="E208" s="537" t="s">
        <v>2366</v>
      </c>
      <c r="F208" s="537" t="s">
        <v>2367</v>
      </c>
    </row>
    <row r="209" spans="1:6" s="538" customFormat="1" x14ac:dyDescent="0.25">
      <c r="A209" s="549" t="str">
        <f t="shared" si="10"/>
        <v>04-D-204</v>
      </c>
      <c r="B209" s="788" t="str">
        <f t="shared" ca="1" si="11"/>
        <v>Championship. Check your entry on the "Final Matches" worksheet.</v>
      </c>
      <c r="C209" s="538" t="s">
        <v>497</v>
      </c>
      <c r="D209" s="538" t="s">
        <v>2169</v>
      </c>
      <c r="E209" s="538" t="s">
        <v>2368</v>
      </c>
      <c r="F209" s="538" t="s">
        <v>1839</v>
      </c>
    </row>
    <row r="210" spans="1:6" s="537" customFormat="1" x14ac:dyDescent="0.25">
      <c r="A210" s="550" t="str">
        <f t="shared" si="10"/>
        <v>04-D-205</v>
      </c>
      <c r="B210" s="787" t="str">
        <f t="shared" ca="1" si="11"/>
        <v>The participation code for the winner of the European Championship is generated without errors.</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 questions</v>
      </c>
      <c r="C212" s="537" t="s">
        <v>99</v>
      </c>
      <c r="D212" s="537" t="s">
        <v>1138</v>
      </c>
      <c r="E212" s="537" t="s">
        <v>1227</v>
      </c>
      <c r="F212" s="537" t="s">
        <v>1708</v>
      </c>
    </row>
    <row r="213" spans="1:6" s="538" customFormat="1" x14ac:dyDescent="0.25">
      <c r="A213" s="549" t="str">
        <f t="shared" si="10"/>
        <v>04-D-208</v>
      </c>
      <c r="B213" s="788" t="str">
        <f t="shared" ca="1" si="11"/>
        <v>It is not possible to generate the participation code for the bonus questions due to the lack of data.</v>
      </c>
      <c r="C213" s="538" t="s">
        <v>356</v>
      </c>
      <c r="D213" s="538" t="s">
        <v>1139</v>
      </c>
      <c r="E213" s="538" t="s">
        <v>1529</v>
      </c>
      <c r="F213" s="538" t="s">
        <v>1840</v>
      </c>
    </row>
    <row r="214" spans="1:6" s="537" customFormat="1" x14ac:dyDescent="0.25">
      <c r="A214" s="550" t="str">
        <f t="shared" si="10"/>
        <v>04-D-209</v>
      </c>
      <c r="B214" s="787" t="str">
        <f t="shared" ca="1" si="11"/>
        <v>Check if all fields are filled in on the "Bonus Questions" worksheet.</v>
      </c>
      <c r="C214" s="537" t="s">
        <v>498</v>
      </c>
      <c r="D214" s="537" t="s">
        <v>1140</v>
      </c>
      <c r="E214" s="537" t="s">
        <v>1530</v>
      </c>
      <c r="F214" s="537" t="s">
        <v>1841</v>
      </c>
    </row>
    <row r="215" spans="1:6" s="538" customFormat="1" x14ac:dyDescent="0.25">
      <c r="A215" s="549" t="str">
        <f t="shared" si="10"/>
        <v>04-D-210</v>
      </c>
      <c r="B215" s="788" t="str">
        <f t="shared" ca="1" si="11"/>
        <v>An error was detected when generating the participation code for the bonus questions. Check your</v>
      </c>
      <c r="C215" s="538" t="s">
        <v>358</v>
      </c>
      <c r="D215" s="538" t="s">
        <v>1141</v>
      </c>
      <c r="E215" s="538" t="s">
        <v>1531</v>
      </c>
      <c r="F215" s="538" t="s">
        <v>1842</v>
      </c>
    </row>
    <row r="216" spans="1:6" s="537" customFormat="1" x14ac:dyDescent="0.25">
      <c r="A216" s="550" t="str">
        <f t="shared" si="10"/>
        <v>04-D-211</v>
      </c>
      <c r="B216" s="787" t="str">
        <f t="shared" ca="1" si="11"/>
        <v>entry on the "Bonus Questions" worksheet.</v>
      </c>
      <c r="C216" s="537" t="s">
        <v>499</v>
      </c>
      <c r="D216" s="537" t="s">
        <v>1142</v>
      </c>
      <c r="E216" s="537" t="s">
        <v>1532</v>
      </c>
      <c r="F216" s="537" t="s">
        <v>1843</v>
      </c>
    </row>
    <row r="217" spans="1:6" s="538" customFormat="1" x14ac:dyDescent="0.25">
      <c r="A217" s="549" t="str">
        <f t="shared" si="10"/>
        <v>04-D-212</v>
      </c>
      <c r="B217" s="788" t="str">
        <f t="shared" ca="1" si="11"/>
        <v>Errors were found when generating the participation code for the bonus questions. Check your entry</v>
      </c>
      <c r="C217" s="538" t="s">
        <v>359</v>
      </c>
      <c r="D217" s="538" t="s">
        <v>1143</v>
      </c>
      <c r="E217" s="538" t="s">
        <v>1533</v>
      </c>
      <c r="F217" s="538" t="s">
        <v>1844</v>
      </c>
    </row>
    <row r="218" spans="1:6" s="537" customFormat="1" x14ac:dyDescent="0.25">
      <c r="A218" s="550" t="str">
        <f t="shared" si="10"/>
        <v>04-D-213</v>
      </c>
      <c r="B218" s="787" t="str">
        <f t="shared" ca="1" si="11"/>
        <v>on the "Bonus Questions" worksheet.</v>
      </c>
      <c r="C218" s="537" t="s">
        <v>499</v>
      </c>
      <c r="D218" s="537" t="s">
        <v>1144</v>
      </c>
      <c r="E218" s="537" t="s">
        <v>1534</v>
      </c>
      <c r="F218" s="537" t="s">
        <v>1843</v>
      </c>
    </row>
    <row r="219" spans="1:6" s="538" customFormat="1" x14ac:dyDescent="0.25">
      <c r="A219" s="549" t="str">
        <f t="shared" si="10"/>
        <v>04-D-214</v>
      </c>
      <c r="B219" s="788" t="str">
        <f t="shared" ca="1" si="11"/>
        <v>The participation code for the bonus questions is generated without errors.</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Not enough teams have been selected to generate an participation code.</v>
      </c>
      <c r="C222" s="537" t="s">
        <v>2117</v>
      </c>
      <c r="D222" s="537" t="s">
        <v>2138</v>
      </c>
      <c r="E222" s="537" t="s">
        <v>2141</v>
      </c>
      <c r="F222" s="537" t="s">
        <v>2147</v>
      </c>
    </row>
    <row r="223" spans="1:6" s="538" customFormat="1" x14ac:dyDescent="0.25">
      <c r="A223" s="549" t="str">
        <f t="shared" si="13"/>
        <v>04-D-218</v>
      </c>
      <c r="B223" s="788" t="str">
        <f t="shared" ca="1" si="12"/>
        <v>Too many teams have been selected to generate an participation code.</v>
      </c>
      <c r="C223" s="538" t="s">
        <v>2115</v>
      </c>
      <c r="D223" s="538" t="s">
        <v>2139</v>
      </c>
      <c r="E223" s="538" t="s">
        <v>2142</v>
      </c>
      <c r="F223" s="538" t="s">
        <v>2148</v>
      </c>
    </row>
    <row r="224" spans="1:6" s="537" customFormat="1" x14ac:dyDescent="0.25">
      <c r="A224" s="550" t="str">
        <f t="shared" si="13"/>
        <v>04-D-219</v>
      </c>
      <c r="B224" s="787" t="str">
        <f t="shared" ca="1" si="12"/>
        <v>Check the number of selected teams on the "Teams" worksheet.</v>
      </c>
      <c r="C224" s="537" t="s">
        <v>2116</v>
      </c>
      <c r="D224" s="537" t="s">
        <v>2134</v>
      </c>
      <c r="E224" s="537" t="s">
        <v>2143</v>
      </c>
      <c r="F224" s="537" t="s">
        <v>2149</v>
      </c>
    </row>
    <row r="225" spans="1:6" s="538" customFormat="1" x14ac:dyDescent="0.25">
      <c r="A225" s="549" t="str">
        <f t="shared" si="13"/>
        <v>04-D-220</v>
      </c>
      <c r="B225" s="788" t="str">
        <f t="shared" ca="1" si="12"/>
        <v>An error was detected while generating the participation code for the teams.</v>
      </c>
      <c r="C225" s="538" t="s">
        <v>2132</v>
      </c>
      <c r="D225" s="538" t="s">
        <v>2135</v>
      </c>
      <c r="E225" s="538" t="s">
        <v>2144</v>
      </c>
      <c r="F225" s="538" t="s">
        <v>2150</v>
      </c>
    </row>
    <row r="226" spans="1:6" s="537" customFormat="1" x14ac:dyDescent="0.25">
      <c r="A226" s="550" t="str">
        <f t="shared" si="13"/>
        <v>04-D-221</v>
      </c>
      <c r="B226" s="787" t="str">
        <f t="shared" ca="1" si="12"/>
        <v>Check your selection of teams on the "Teams" worksheet.</v>
      </c>
      <c r="C226" s="537" t="s">
        <v>2133</v>
      </c>
      <c r="D226" s="537" t="s">
        <v>2136</v>
      </c>
      <c r="E226" s="537" t="s">
        <v>2145</v>
      </c>
      <c r="F226" s="537" t="s">
        <v>2151</v>
      </c>
    </row>
    <row r="227" spans="1:6" s="538" customFormat="1" x14ac:dyDescent="0.25">
      <c r="A227" s="549" t="str">
        <f t="shared" si="13"/>
        <v>04-D-222</v>
      </c>
      <c r="B227" s="788" t="str">
        <f t="shared" ca="1" si="12"/>
        <v>Sufficient teams have been selected to generate an participation code.</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the field below, your participation code will be generated if all fields are filled in completely and correctly.</v>
      </c>
      <c r="C229" s="538" t="s">
        <v>1096</v>
      </c>
      <c r="D229" s="538" t="s">
        <v>1095</v>
      </c>
      <c r="E229" s="538" t="s">
        <v>1536</v>
      </c>
      <c r="F229" s="538" t="s">
        <v>1846</v>
      </c>
    </row>
    <row r="230" spans="1:6" s="537" customFormat="1" x14ac:dyDescent="0.25">
      <c r="A230" s="550" t="str">
        <f t="shared" si="10"/>
        <v>04-D-225</v>
      </c>
      <c r="B230" s="787" t="str">
        <f t="shared" ca="1" si="11"/>
        <v>The entry code cannot be generated due to lack of data or incorrect values. It involves the following input field</v>
      </c>
      <c r="C230" s="537" t="s">
        <v>1151</v>
      </c>
      <c r="D230" s="537" t="s">
        <v>1152</v>
      </c>
      <c r="E230" s="537" t="s">
        <v>1537</v>
      </c>
      <c r="F230" s="537" t="s">
        <v>1847</v>
      </c>
    </row>
    <row r="231" spans="1:6" s="538" customFormat="1" x14ac:dyDescent="0.25">
      <c r="A231" s="549" t="str">
        <f t="shared" si="10"/>
        <v>04-D-226</v>
      </c>
      <c r="B231" s="788" t="str">
        <f t="shared" ca="1" si="11"/>
        <v>The entry code cannot be generated due to lack of data or incorrect values. It concerns the following input fields</v>
      </c>
      <c r="C231" s="538" t="s">
        <v>1148</v>
      </c>
      <c r="D231" s="538" t="s">
        <v>1153</v>
      </c>
      <c r="E231" s="538" t="s">
        <v>1538</v>
      </c>
      <c r="F231" s="538" t="s">
        <v>1848</v>
      </c>
    </row>
    <row r="232" spans="1:6" s="537" customFormat="1" x14ac:dyDescent="0.25">
      <c r="A232" s="550" t="str">
        <f t="shared" si="10"/>
        <v>04-D-227</v>
      </c>
      <c r="B232" s="787" t="str">
        <f t="shared" ca="1" si="11"/>
        <v>The participation code cannot be generated due to the absence of the rules. Ask your organizer to add the rules to your participation form.</v>
      </c>
      <c r="C232" s="537" t="s">
        <v>1169</v>
      </c>
      <c r="D232" s="537" t="s">
        <v>1149</v>
      </c>
      <c r="E232" s="537" t="s">
        <v>1539</v>
      </c>
      <c r="F232" s="537" t="s">
        <v>1849</v>
      </c>
    </row>
    <row r="233" spans="1:6" s="538" customFormat="1" x14ac:dyDescent="0.25">
      <c r="A233" s="549" t="str">
        <f t="shared" si="10"/>
        <v>04-D-228</v>
      </c>
      <c r="B233" s="788" t="str">
        <f t="shared" ca="1" si="11"/>
        <v>This participation form concerns a demo version for the EURO 2024 in Germany. The participation code is disabled here regardless of whether all components have been entered correctly.</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The Teams</v>
      </c>
      <c r="C235" s="563" t="s">
        <v>1963</v>
      </c>
      <c r="D235" s="563" t="s">
        <v>1964</v>
      </c>
      <c r="E235" s="563" t="s">
        <v>1965</v>
      </c>
      <c r="F235" s="563" t="s">
        <v>1962</v>
      </c>
    </row>
    <row r="236" spans="1:6" s="537" customFormat="1" x14ac:dyDescent="0.25">
      <c r="A236" s="550" t="str">
        <f t="shared" si="14"/>
        <v>04-D-231</v>
      </c>
      <c r="B236" s="787" t="str">
        <f t="shared" ca="1" si="15"/>
        <v>To give an extra dimension to the pool and the tournament, the organizer has enabled the pool's teams function. With this function you can compete in groups/teams for the honor whereby the average score per team is calculated every match day.</v>
      </c>
      <c r="C236" s="537" t="s">
        <v>1966</v>
      </c>
      <c r="D236" s="537" t="s">
        <v>2023</v>
      </c>
      <c r="E236" s="537" t="s">
        <v>2024</v>
      </c>
      <c r="F236" s="537" t="s">
        <v>2025</v>
      </c>
    </row>
    <row r="237" spans="1:6" s="538" customFormat="1" x14ac:dyDescent="0.25">
      <c r="A237" s="549" t="str">
        <f t="shared" si="14"/>
        <v>04-D-232</v>
      </c>
      <c r="B237" s="788" t="str">
        <f t="shared" ca="1" si="15"/>
        <v>Select from the list below one or more teams to which you belong as a participant, based on the description.</v>
      </c>
      <c r="C237" s="538" t="s">
        <v>1967</v>
      </c>
      <c r="D237" s="538" t="s">
        <v>2026</v>
      </c>
      <c r="E237" s="538" t="s">
        <v>2031</v>
      </c>
      <c r="F237" s="538" t="s">
        <v>2036</v>
      </c>
    </row>
    <row r="238" spans="1:6" s="537" customFormat="1" x14ac:dyDescent="0.25">
      <c r="A238" s="550" t="str">
        <f t="shared" si="14"/>
        <v>04-D-233</v>
      </c>
      <c r="B238" s="787" t="str">
        <f t="shared" ca="1" si="15"/>
        <v>Select at least $$$ @@@ from the list below to which you as a participant belong based on the description.</v>
      </c>
      <c r="C238" s="537" t="s">
        <v>1973</v>
      </c>
      <c r="D238" s="537" t="s">
        <v>2027</v>
      </c>
      <c r="E238" s="537" t="s">
        <v>2032</v>
      </c>
      <c r="F238" s="537" t="s">
        <v>2037</v>
      </c>
    </row>
    <row r="239" spans="1:6" s="538" customFormat="1" x14ac:dyDescent="0.25">
      <c r="A239" s="549" t="str">
        <f t="shared" si="14"/>
        <v>04-D-234</v>
      </c>
      <c r="B239" s="788" t="str">
        <f t="shared" ca="1" si="15"/>
        <v>Select a maximum of ### @@@ from the list below to which you belong as a participant, based on the description.</v>
      </c>
      <c r="C239" s="538" t="s">
        <v>1974</v>
      </c>
      <c r="D239" s="538" t="s">
        <v>2028</v>
      </c>
      <c r="E239" s="538" t="s">
        <v>2033</v>
      </c>
      <c r="F239" s="538" t="s">
        <v>2038</v>
      </c>
    </row>
    <row r="240" spans="1:6" s="537" customFormat="1" x14ac:dyDescent="0.25">
      <c r="A240" s="550" t="str">
        <f t="shared" si="14"/>
        <v>04-D-235</v>
      </c>
      <c r="B240" s="787" t="str">
        <f t="shared" ca="1" si="15"/>
        <v>Select from the list below a minimum of $$$, a maximum of ### @@@ to which you belong as a participant, based on the description.</v>
      </c>
      <c r="C240" s="537" t="s">
        <v>1975</v>
      </c>
      <c r="D240" s="537" t="s">
        <v>2029</v>
      </c>
      <c r="E240" s="537" t="s">
        <v>2034</v>
      </c>
      <c r="F240" s="537" t="s">
        <v>2039</v>
      </c>
    </row>
    <row r="241" spans="1:6" s="538" customFormat="1" x14ac:dyDescent="0.25">
      <c r="A241" s="549" t="str">
        <f t="shared" si="14"/>
        <v>04-D-236</v>
      </c>
      <c r="B241" s="788" t="str">
        <f t="shared" ca="1" si="15"/>
        <v>Select from the list below $$$ @@@ where you belong as a participant based on the description.</v>
      </c>
      <c r="C241" s="538" t="s">
        <v>1976</v>
      </c>
      <c r="D241" s="538" t="s">
        <v>2030</v>
      </c>
      <c r="E241" s="538" t="s">
        <v>2035</v>
      </c>
      <c r="F241" s="538" t="s">
        <v>2040</v>
      </c>
    </row>
    <row r="242" spans="1:6" s="537" customFormat="1" x14ac:dyDescent="0.25">
      <c r="A242" s="550" t="str">
        <f t="shared" si="14"/>
        <v>04-D-237</v>
      </c>
      <c r="B242" s="787" t="str">
        <f t="shared" ca="1" si="15"/>
        <v>one</v>
      </c>
      <c r="C242" s="537" t="s">
        <v>1980</v>
      </c>
      <c r="D242" s="537" t="s">
        <v>2058</v>
      </c>
      <c r="E242" s="537" t="s">
        <v>2077</v>
      </c>
      <c r="F242" s="537" t="s">
        <v>2095</v>
      </c>
    </row>
    <row r="243" spans="1:6" s="538" customFormat="1" x14ac:dyDescent="0.25">
      <c r="A243" s="549" t="str">
        <f t="shared" si="14"/>
        <v>04-D-238</v>
      </c>
      <c r="B243" s="788" t="str">
        <f t="shared" ca="1" si="15"/>
        <v>two</v>
      </c>
      <c r="C243" s="538" t="s">
        <v>1981</v>
      </c>
      <c r="D243" s="538" t="s">
        <v>2059</v>
      </c>
      <c r="E243" s="538" t="s">
        <v>2078</v>
      </c>
      <c r="F243" s="538" t="s">
        <v>2096</v>
      </c>
    </row>
    <row r="244" spans="1:6" s="537" customFormat="1" x14ac:dyDescent="0.25">
      <c r="A244" s="550" t="str">
        <f t="shared" si="14"/>
        <v>04-D-239</v>
      </c>
      <c r="B244" s="787" t="str">
        <f t="shared" ca="1" si="15"/>
        <v>three</v>
      </c>
      <c r="C244" s="537" t="s">
        <v>1982</v>
      </c>
      <c r="D244" s="537" t="s">
        <v>2060</v>
      </c>
      <c r="E244" s="537" t="s">
        <v>2079</v>
      </c>
      <c r="F244" s="537" t="s">
        <v>2097</v>
      </c>
    </row>
    <row r="245" spans="1:6" s="538" customFormat="1" x14ac:dyDescent="0.25">
      <c r="A245" s="549" t="str">
        <f t="shared" si="14"/>
        <v>04-D-240</v>
      </c>
      <c r="B245" s="788" t="str">
        <f t="shared" ca="1" si="15"/>
        <v>four</v>
      </c>
      <c r="C245" s="538" t="s">
        <v>1983</v>
      </c>
      <c r="D245" s="538" t="s">
        <v>2061</v>
      </c>
      <c r="E245" s="538" t="s">
        <v>1983</v>
      </c>
      <c r="F245" s="538" t="s">
        <v>2098</v>
      </c>
    </row>
    <row r="246" spans="1:6" s="537" customFormat="1" x14ac:dyDescent="0.25">
      <c r="A246" s="550" t="str">
        <f t="shared" si="14"/>
        <v>04-D-241</v>
      </c>
      <c r="B246" s="787" t="str">
        <f t="shared" ca="1" si="15"/>
        <v>five</v>
      </c>
      <c r="C246" s="537" t="s">
        <v>1984</v>
      </c>
      <c r="D246" s="537" t="s">
        <v>2062</v>
      </c>
      <c r="E246" s="537" t="s">
        <v>2080</v>
      </c>
      <c r="F246" s="537" t="s">
        <v>2099</v>
      </c>
    </row>
    <row r="247" spans="1:6" s="538" customFormat="1" x14ac:dyDescent="0.25">
      <c r="A247" s="549" t="str">
        <f t="shared" si="14"/>
        <v>04-D-242</v>
      </c>
      <c r="B247" s="788" t="str">
        <f t="shared" ca="1" si="15"/>
        <v>six</v>
      </c>
      <c r="C247" s="538" t="s">
        <v>1985</v>
      </c>
      <c r="D247" s="538" t="s">
        <v>2063</v>
      </c>
      <c r="E247" s="538" t="s">
        <v>2081</v>
      </c>
      <c r="F247" s="538" t="s">
        <v>2100</v>
      </c>
    </row>
    <row r="248" spans="1:6" s="537" customFormat="1" x14ac:dyDescent="0.25">
      <c r="A248" s="550" t="str">
        <f t="shared" si="14"/>
        <v>04-D-243</v>
      </c>
      <c r="B248" s="787" t="str">
        <f t="shared" ca="1" si="15"/>
        <v>seven</v>
      </c>
      <c r="C248" s="537" t="s">
        <v>1986</v>
      </c>
      <c r="D248" s="537" t="s">
        <v>2064</v>
      </c>
      <c r="E248" s="537" t="s">
        <v>2082</v>
      </c>
      <c r="F248" s="537" t="s">
        <v>2101</v>
      </c>
    </row>
    <row r="249" spans="1:6" s="538" customFormat="1" x14ac:dyDescent="0.25">
      <c r="A249" s="549" t="str">
        <f t="shared" si="14"/>
        <v>04-D-244</v>
      </c>
      <c r="B249" s="788" t="str">
        <f t="shared" ca="1" si="15"/>
        <v>eight</v>
      </c>
      <c r="C249" s="538" t="s">
        <v>1987</v>
      </c>
      <c r="D249" s="538" t="s">
        <v>2065</v>
      </c>
      <c r="E249" s="538" t="s">
        <v>1987</v>
      </c>
      <c r="F249" s="538" t="s">
        <v>2102</v>
      </c>
    </row>
    <row r="250" spans="1:6" s="537" customFormat="1" x14ac:dyDescent="0.25">
      <c r="A250" s="550" t="str">
        <f t="shared" si="14"/>
        <v>04-D-245</v>
      </c>
      <c r="B250" s="787" t="str">
        <f t="shared" ca="1" si="15"/>
        <v>nine</v>
      </c>
      <c r="C250" s="537" t="s">
        <v>1988</v>
      </c>
      <c r="D250" s="537" t="s">
        <v>2066</v>
      </c>
      <c r="E250" s="537" t="s">
        <v>2083</v>
      </c>
      <c r="F250" s="537" t="s">
        <v>2103</v>
      </c>
    </row>
    <row r="251" spans="1:6" s="538" customFormat="1" x14ac:dyDescent="0.25">
      <c r="A251" s="549" t="str">
        <f t="shared" si="14"/>
        <v>04-D-246</v>
      </c>
      <c r="B251" s="788" t="str">
        <f t="shared" ca="1" si="15"/>
        <v>ten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twelve</v>
      </c>
      <c r="C253" s="538" t="s">
        <v>1991</v>
      </c>
      <c r="D253" s="538" t="s">
        <v>2068</v>
      </c>
      <c r="E253" s="538" t="s">
        <v>2086</v>
      </c>
      <c r="F253" s="538" t="s">
        <v>2106</v>
      </c>
    </row>
    <row r="254" spans="1:6" s="537" customFormat="1" x14ac:dyDescent="0.25">
      <c r="A254" s="550" t="str">
        <f t="shared" si="14"/>
        <v>04-D-249</v>
      </c>
      <c r="B254" s="787" t="str">
        <f t="shared" ca="1" si="15"/>
        <v>thirteen</v>
      </c>
      <c r="C254" s="537" t="s">
        <v>1992</v>
      </c>
      <c r="D254" s="537" t="s">
        <v>2069</v>
      </c>
      <c r="E254" s="537" t="s">
        <v>2087</v>
      </c>
      <c r="F254" s="537" t="s">
        <v>2107</v>
      </c>
    </row>
    <row r="255" spans="1:6" s="538" customFormat="1" x14ac:dyDescent="0.25">
      <c r="A255" s="549" t="str">
        <f t="shared" si="14"/>
        <v>04-D-250</v>
      </c>
      <c r="B255" s="788" t="str">
        <f t="shared" ca="1" si="15"/>
        <v>fourteen</v>
      </c>
      <c r="C255" s="538" t="s">
        <v>1993</v>
      </c>
      <c r="D255" s="538" t="s">
        <v>2070</v>
      </c>
      <c r="E255" s="538" t="s">
        <v>2088</v>
      </c>
      <c r="F255" s="538" t="s">
        <v>2108</v>
      </c>
    </row>
    <row r="256" spans="1:6" s="537" customFormat="1" x14ac:dyDescent="0.25">
      <c r="A256" s="550" t="str">
        <f t="shared" si="14"/>
        <v>04-D-251</v>
      </c>
      <c r="B256" s="787" t="str">
        <f t="shared" ca="1" si="15"/>
        <v>fifteen</v>
      </c>
      <c r="C256" s="537" t="s">
        <v>1994</v>
      </c>
      <c r="D256" s="537" t="s">
        <v>2071</v>
      </c>
      <c r="E256" s="537" t="s">
        <v>2089</v>
      </c>
      <c r="F256" s="537" t="s">
        <v>2109</v>
      </c>
    </row>
    <row r="257" spans="1:6" s="538" customFormat="1" x14ac:dyDescent="0.25">
      <c r="A257" s="549" t="str">
        <f t="shared" si="14"/>
        <v>04-D-252</v>
      </c>
      <c r="B257" s="788" t="str">
        <f t="shared" ca="1" si="15"/>
        <v>sixteen</v>
      </c>
      <c r="C257" s="538" t="s">
        <v>1995</v>
      </c>
      <c r="D257" s="538" t="s">
        <v>2072</v>
      </c>
      <c r="E257" s="538" t="s">
        <v>2090</v>
      </c>
      <c r="F257" s="538" t="s">
        <v>2110</v>
      </c>
    </row>
    <row r="258" spans="1:6" s="537" customFormat="1" x14ac:dyDescent="0.25">
      <c r="A258" s="550" t="str">
        <f t="shared" si="14"/>
        <v>04-D-253</v>
      </c>
      <c r="B258" s="787" t="str">
        <f t="shared" ca="1" si="15"/>
        <v>seventeen</v>
      </c>
      <c r="C258" s="537" t="s">
        <v>1996</v>
      </c>
      <c r="D258" s="537" t="s">
        <v>2073</v>
      </c>
      <c r="E258" s="537" t="s">
        <v>2091</v>
      </c>
      <c r="F258" s="537" t="s">
        <v>2111</v>
      </c>
    </row>
    <row r="259" spans="1:6" s="538" customFormat="1" x14ac:dyDescent="0.25">
      <c r="A259" s="549" t="str">
        <f t="shared" si="14"/>
        <v>04-D-254</v>
      </c>
      <c r="B259" s="788" t="str">
        <f t="shared" ca="1" si="15"/>
        <v>esteem</v>
      </c>
      <c r="C259" s="538" t="s">
        <v>1997</v>
      </c>
      <c r="D259" s="538" t="s">
        <v>2074</v>
      </c>
      <c r="E259" s="538" t="s">
        <v>2092</v>
      </c>
      <c r="F259" s="538" t="s">
        <v>2112</v>
      </c>
    </row>
    <row r="260" spans="1:6" s="537" customFormat="1" x14ac:dyDescent="0.25">
      <c r="A260" s="550" t="str">
        <f t="shared" si="14"/>
        <v>04-D-255</v>
      </c>
      <c r="B260" s="787" t="str">
        <f t="shared" ca="1" si="15"/>
        <v>nineteen</v>
      </c>
      <c r="C260" s="537" t="s">
        <v>1998</v>
      </c>
      <c r="D260" s="537" t="s">
        <v>2075</v>
      </c>
      <c r="E260" s="537" t="s">
        <v>2093</v>
      </c>
      <c r="F260" s="537" t="s">
        <v>2113</v>
      </c>
    </row>
    <row r="261" spans="1:6" s="538" customFormat="1" x14ac:dyDescent="0.25">
      <c r="A261" s="549" t="str">
        <f t="shared" si="14"/>
        <v>04-D-256</v>
      </c>
      <c r="B261" s="788" t="str">
        <f t="shared" ca="1" si="15"/>
        <v>twenty</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select team</v>
      </c>
      <c r="C264" s="537" t="s">
        <v>2018</v>
      </c>
      <c r="D264" s="537" t="s">
        <v>2041</v>
      </c>
      <c r="E264" s="537" t="s">
        <v>2047</v>
      </c>
      <c r="F264" s="537" t="s">
        <v>2053</v>
      </c>
    </row>
    <row r="265" spans="1:6" s="538" customFormat="1" x14ac:dyDescent="0.25">
      <c r="A265" s="549" t="str">
        <f t="shared" si="14"/>
        <v>04-D-260</v>
      </c>
      <c r="B265" s="788" t="str">
        <f t="shared" ca="1" si="15"/>
        <v>yes</v>
      </c>
      <c r="C265" s="538" t="s">
        <v>2010</v>
      </c>
      <c r="D265" s="538" t="s">
        <v>2046</v>
      </c>
      <c r="E265" s="538" t="s">
        <v>2010</v>
      </c>
      <c r="F265" s="538" t="s">
        <v>2010</v>
      </c>
    </row>
    <row r="266" spans="1:6" s="537" customFormat="1" x14ac:dyDescent="0.25">
      <c r="A266" s="550" t="str">
        <f t="shared" si="14"/>
        <v>04-D-261</v>
      </c>
      <c r="B266" s="787" t="str">
        <f t="shared" ca="1" si="15"/>
        <v>no</v>
      </c>
      <c r="C266" s="537" t="s">
        <v>2011</v>
      </c>
      <c r="D266" s="537" t="s">
        <v>2042</v>
      </c>
      <c r="E266" s="537" t="s">
        <v>2048</v>
      </c>
      <c r="F266" s="537" t="s">
        <v>2057</v>
      </c>
    </row>
    <row r="267" spans="1:6" s="538" customFormat="1" x14ac:dyDescent="0.25">
      <c r="A267" s="549" t="str">
        <f t="shared" si="14"/>
        <v>04-D-262</v>
      </c>
      <c r="B267" s="788" t="str">
        <f t="shared" ca="1" si="15"/>
        <v>Not enough teams have been selected.</v>
      </c>
      <c r="C267" s="538" t="s">
        <v>2019</v>
      </c>
      <c r="D267" s="538" t="s">
        <v>2043</v>
      </c>
      <c r="E267" s="538" t="s">
        <v>2049</v>
      </c>
      <c r="F267" s="538" t="s">
        <v>2054</v>
      </c>
    </row>
    <row r="268" spans="1:6" s="537" customFormat="1" x14ac:dyDescent="0.25">
      <c r="A268" s="550" t="str">
        <f t="shared" si="14"/>
        <v>04-D-263</v>
      </c>
      <c r="B268" s="787" t="str">
        <f t="shared" ca="1" si="15"/>
        <v>Sufficient teams have been selected.</v>
      </c>
      <c r="C268" s="537" t="s">
        <v>2020</v>
      </c>
      <c r="D268" s="537" t="s">
        <v>2044</v>
      </c>
      <c r="E268" s="537" t="s">
        <v>2050</v>
      </c>
      <c r="F268" s="537" t="s">
        <v>2055</v>
      </c>
    </row>
    <row r="269" spans="1:6" s="538" customFormat="1" x14ac:dyDescent="0.25">
      <c r="A269" s="549" t="str">
        <f t="shared" si="14"/>
        <v>04-D-264</v>
      </c>
      <c r="B269" s="788" t="str">
        <f t="shared" ca="1" si="15"/>
        <v>More teams have been selected than allowed.</v>
      </c>
      <c r="C269" s="538" t="s">
        <v>2021</v>
      </c>
      <c r="D269" s="538" t="s">
        <v>2045</v>
      </c>
      <c r="E269" s="538" t="s">
        <v>2051</v>
      </c>
      <c r="F269" s="538" t="s">
        <v>2056</v>
      </c>
    </row>
    <row r="270" spans="1:6" s="537" customFormat="1" x14ac:dyDescent="0.25">
      <c r="A270" s="550" t="str">
        <f t="shared" si="14"/>
        <v>04-D-265</v>
      </c>
      <c r="B270" s="787" t="str">
        <f t="shared" ca="1" si="15"/>
        <v>See next page for the other teams.</v>
      </c>
      <c r="C270" s="537" t="s">
        <v>2156</v>
      </c>
      <c r="D270" s="537" t="s">
        <v>2157</v>
      </c>
      <c r="E270" s="537" t="s">
        <v>2155</v>
      </c>
      <c r="F270" s="537" t="s">
        <v>2154</v>
      </c>
    </row>
    <row r="271" spans="1:6" s="538" customFormat="1" x14ac:dyDescent="0.25">
      <c r="A271" s="549" t="str">
        <f t="shared" si="14"/>
        <v>04-D-266</v>
      </c>
      <c r="B271" s="788" t="str">
        <f t="shared" ca="1" si="15"/>
        <v>This worksheet is not applicable. The organizer has chosen not to use the TEAMS function.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Cover</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560</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THE EXCEL PARTICIPATION FORM EURO 2024 (GERMANY)</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European Championship 2024: Germany</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45457</v>
      </c>
      <c r="K45" s="1036">
        <v>45457</v>
      </c>
      <c r="L45" s="1036"/>
      <c r="M45" s="431">
        <f ca="1">K45-J45</f>
        <v>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Group A</v>
      </c>
      <c r="H49" s="504"/>
      <c r="I49" s="504"/>
      <c r="J49" s="505" t="str">
        <f ca="1">Taal02!$B$11</f>
        <v>Group B</v>
      </c>
      <c r="K49" s="381"/>
      <c r="L49" s="506"/>
      <c r="M49" s="505" t="str">
        <f ca="1">Taal02!$B$16</f>
        <v>Group C</v>
      </c>
      <c r="N49" s="504"/>
      <c r="O49" s="504"/>
      <c r="P49" s="505" t="str">
        <f ca="1">Taal02!$B$36</f>
        <v>Group G</v>
      </c>
      <c r="Q49" s="77"/>
      <c r="R49" s="17"/>
      <c r="S49" s="60"/>
      <c r="T49" s="17"/>
    </row>
    <row r="50" spans="2:20" ht="18.75" customHeight="1" x14ac:dyDescent="0.3">
      <c r="B50" s="17"/>
      <c r="C50" s="949"/>
      <c r="D50" s="17"/>
      <c r="E50" s="17"/>
      <c r="F50" s="17"/>
      <c r="G50" s="504" t="str">
        <f ca="1">VLOOKUP(RIGHT(G49,1)&amp;"1",$X$67:$Z$98,2)</f>
        <v>Germany</v>
      </c>
      <c r="H50" s="17"/>
      <c r="I50" s="17"/>
      <c r="J50" s="507" t="str">
        <f ca="1">VLOOKUP(RIGHT(J49,1)&amp;"1",$X$67:$Z$98,2)</f>
        <v>Spain</v>
      </c>
      <c r="K50" s="381"/>
      <c r="L50" s="381"/>
      <c r="M50" s="507" t="str">
        <f ca="1">VLOOKUP(RIGHT(M49,1)&amp;"1",$X$67:$Z$98,2)</f>
        <v>Slovenia</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Scotland</v>
      </c>
      <c r="H51" s="17"/>
      <c r="I51" s="17"/>
      <c r="J51" s="507" t="str">
        <f ca="1">VLOOKUP(RIGHT(J49,1)&amp;"2",$X$67:$Z$98,2)</f>
        <v>Croatia</v>
      </c>
      <c r="K51" s="381"/>
      <c r="L51" s="381"/>
      <c r="M51" s="507" t="str">
        <f ca="1">VLOOKUP(RIGHT(M49,1)&amp;"2",$X$67:$Z$98,2)</f>
        <v>Denmark</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Hungary</v>
      </c>
      <c r="H52" s="17"/>
      <c r="I52" s="17"/>
      <c r="J52" s="507" t="str">
        <f ca="1">VLOOKUP(RIGHT(J49,1)&amp;"3",$X$67:$Z$98,2)</f>
        <v>Italy</v>
      </c>
      <c r="K52" s="381"/>
      <c r="L52" s="381"/>
      <c r="M52" s="507" t="str">
        <f ca="1">VLOOKUP(RIGHT(M49,1)&amp;"3",$X$67:$Z$98,2)</f>
        <v>Serbia</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Switzerland</v>
      </c>
      <c r="H53" s="17"/>
      <c r="I53" s="17"/>
      <c r="J53" s="507" t="str">
        <f ca="1">VLOOKUP(RIGHT(J49,1)&amp;"4",$X$67:$Z$98,2)</f>
        <v>Albania</v>
      </c>
      <c r="K53" s="381"/>
      <c r="L53" s="381"/>
      <c r="M53" s="507" t="str">
        <f ca="1">VLOOKUP(RIGHT(M49,1)&amp;"4",$X$67:$Z$98,2)</f>
        <v>England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Group D</v>
      </c>
      <c r="H55" s="504"/>
      <c r="I55" s="504"/>
      <c r="J55" s="503" t="str">
        <f ca="1">Taal02!$B$26</f>
        <v>Group E</v>
      </c>
      <c r="K55" s="17"/>
      <c r="L55" s="504"/>
      <c r="M55" s="503" t="str">
        <f ca="1">Taal02!$B$31</f>
        <v>Group F</v>
      </c>
      <c r="N55" s="504"/>
      <c r="O55" s="504"/>
      <c r="P55" s="505" t="str">
        <f ca="1">Taal02!$B$41</f>
        <v>Group H</v>
      </c>
      <c r="Q55" s="77"/>
      <c r="R55" s="17"/>
      <c r="S55" s="60"/>
      <c r="T55" s="17"/>
    </row>
    <row r="56" spans="2:20" ht="18.75" x14ac:dyDescent="0.3">
      <c r="B56" s="17"/>
      <c r="C56" s="949"/>
      <c r="D56" s="17"/>
      <c r="E56" s="17"/>
      <c r="F56" s="17"/>
      <c r="G56" s="504" t="str">
        <f ca="1">VLOOKUP(RIGHT(G55,1)&amp;"1",$X$67:$Z$98,2)</f>
        <v>Poland</v>
      </c>
      <c r="H56" s="504"/>
      <c r="I56" s="504"/>
      <c r="J56" s="504" t="str">
        <f ca="1">VLOOKUP(RIGHT(J55,1)&amp;"1",$X$67:$Z$98,2)</f>
        <v>Belgium</v>
      </c>
      <c r="K56" s="504"/>
      <c r="L56" s="504"/>
      <c r="M56" s="504" t="str">
        <f ca="1">VLOOKUP(RIGHT(M55,1)&amp;"1",$X$67:$Z$98,2)</f>
        <v>Turkey</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Netherlands</v>
      </c>
      <c r="H57" s="504"/>
      <c r="I57" s="504"/>
      <c r="J57" s="504" t="str">
        <f ca="1">VLOOKUP(RIGHT(J55,1)&amp;"2",$X$67:$Z$98,2)</f>
        <v>Slovakia</v>
      </c>
      <c r="K57" s="504"/>
      <c r="L57" s="504"/>
      <c r="M57" s="504" t="str">
        <f ca="1">VLOOKUP(RIGHT(M55,1)&amp;"2",$X$67:$Z$98,2)</f>
        <v>Georgia</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Austria</v>
      </c>
      <c r="H58" s="504"/>
      <c r="I58" s="504"/>
      <c r="J58" s="504" t="str">
        <f ca="1">VLOOKUP(RIGHT(J55,1)&amp;"3",$X$67:$Z$98,2)</f>
        <v>Romania</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France</v>
      </c>
      <c r="H59" s="504"/>
      <c r="I59" s="504"/>
      <c r="J59" s="504" t="str">
        <f ca="1">VLOOKUP(RIGHT(J55,1)&amp;"4",$X$67:$Z$98,2)</f>
        <v>Ukraine</v>
      </c>
      <c r="K59" s="504"/>
      <c r="L59" s="504"/>
      <c r="M59" s="504" t="str">
        <f ca="1">VLOOKUP(RIGHT(M55,1)&amp;"4",$X$67:$Z$98,2)</f>
        <v>Czech Republic</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2</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Germany</v>
      </c>
      <c r="Z67" s="595" t="s">
        <v>6</v>
      </c>
      <c r="AA67" s="600" t="str">
        <f ca="1">RIGHT(LEFT(Taal02!$B$48,(ROW()-66)*2),2)</f>
        <v>B4</v>
      </c>
      <c r="AB67" s="358" t="str">
        <f t="shared" ref="AB67:AB98" ca="1" si="1">VLOOKUP($AA67,$X$67:$Z$98,2)</f>
        <v>Albania</v>
      </c>
      <c r="AC67" s="598" t="str">
        <f ca="1">VLOOKUP($AA67,$X$67:$Z$98,3)</f>
        <v>AL</v>
      </c>
      <c r="AD67" s="275" t="s">
        <v>116</v>
      </c>
      <c r="AE67" s="275" t="str">
        <f t="shared" ref="AE67:AE98" ca="1" si="2">VLOOKUP($AD67,$X$67:$Z$98,2)</f>
        <v>Albania</v>
      </c>
      <c r="AF67" s="358" t="str">
        <f>VLOOKUP($AD67,$X$67:$Z$98,3)</f>
        <v>AL</v>
      </c>
      <c r="AG67" s="275" t="str">
        <f ca="1">AE67</f>
        <v>Albania</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Scotland</v>
      </c>
      <c r="Z68" s="595" t="s">
        <v>2373</v>
      </c>
      <c r="AA68" s="600" t="str">
        <f ca="1">RIGHT(LEFT(Taal02!$B$48,(ROW()-66)*2),2)</f>
        <v>D3</v>
      </c>
      <c r="AB68" s="358" t="str">
        <f t="shared" ca="1" si="1"/>
        <v>Austria</v>
      </c>
      <c r="AC68" s="598" t="str">
        <f t="shared" ref="AC68:AC98" ca="1" si="3">VLOOKUP($AA68,$X$67:$Z$98,3)</f>
        <v>AT</v>
      </c>
      <c r="AD68" s="275" t="s">
        <v>122</v>
      </c>
      <c r="AE68" s="275" t="str">
        <f t="shared" ca="1" si="2"/>
        <v>Austria</v>
      </c>
      <c r="AF68" s="358" t="str">
        <f t="shared" ref="AF68:AF98" si="4">VLOOKUP($AD68,$X$67:$Z$98,3)</f>
        <v>AT</v>
      </c>
      <c r="AG68" s="275" t="str">
        <f t="shared" ref="AG68:AG98" ca="1" si="5">AE68</f>
        <v>Austria</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Hungary</v>
      </c>
      <c r="Z69" s="595" t="s">
        <v>2374</v>
      </c>
      <c r="AA69" s="600" t="str">
        <f ca="1">RIGHT(LEFT(Taal02!$B$48,(ROW()-66)*2),2)</f>
        <v>E1</v>
      </c>
      <c r="AB69" s="358" t="str">
        <f t="shared" ca="1" si="1"/>
        <v>Belgium</v>
      </c>
      <c r="AC69" s="598" t="str">
        <f t="shared" ca="1" si="3"/>
        <v>BE</v>
      </c>
      <c r="AD69" s="275" t="s">
        <v>124</v>
      </c>
      <c r="AE69" s="275" t="str">
        <f t="shared" ca="1" si="2"/>
        <v>Belgium</v>
      </c>
      <c r="AF69" s="358" t="str">
        <f t="shared" si="4"/>
        <v>BE</v>
      </c>
      <c r="AG69" s="275" t="str">
        <f t="shared" ca="1" si="5"/>
        <v>Belgium</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Switzerland</v>
      </c>
      <c r="Z70" s="595" t="s">
        <v>473</v>
      </c>
      <c r="AA70" s="600" t="str">
        <f ca="1">RIGHT(LEFT(Taal02!$B$48,(ROW()-66)*2),2)</f>
        <v>B2</v>
      </c>
      <c r="AB70" s="358" t="str">
        <f t="shared" ca="1" si="1"/>
        <v>Croatia</v>
      </c>
      <c r="AC70" s="598" t="str">
        <f t="shared" ca="1" si="3"/>
        <v>HR</v>
      </c>
      <c r="AD70" s="275" t="s">
        <v>112</v>
      </c>
      <c r="AE70" s="275" t="str">
        <f t="shared" ca="1" si="2"/>
        <v>Switzerland</v>
      </c>
      <c r="AF70" s="358" t="str">
        <f t="shared" si="4"/>
        <v>CH</v>
      </c>
      <c r="AG70" s="275" t="str">
        <f t="shared" ca="1" si="5"/>
        <v>Switzerland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Spain</v>
      </c>
      <c r="Z71" s="595" t="s">
        <v>471</v>
      </c>
      <c r="AA71" s="600" t="str">
        <f ca="1">RIGHT(LEFT(Taal02!$B$48,(ROW()-66)*2),2)</f>
        <v>F4</v>
      </c>
      <c r="AB71" s="358" t="str">
        <f t="shared" ca="1" si="1"/>
        <v>Czech Republic</v>
      </c>
      <c r="AC71" s="598" t="str">
        <f t="shared" ca="1" si="3"/>
        <v>CZ</v>
      </c>
      <c r="AD71" s="275" t="s">
        <v>132</v>
      </c>
      <c r="AE71" s="275" t="str">
        <f t="shared" ca="1" si="2"/>
        <v>Czech Republic</v>
      </c>
      <c r="AF71" s="358" t="str">
        <f t="shared" si="4"/>
        <v>CZ</v>
      </c>
      <c r="AG71" s="275" t="str">
        <f t="shared" ca="1" si="5"/>
        <v>Czech Republic</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Croatia</v>
      </c>
      <c r="Z72" s="595" t="s">
        <v>470</v>
      </c>
      <c r="AA72" s="600" t="str">
        <f ca="1">RIGHT(LEFT(Taal02!$B$48,(ROW()-66)*2),2)</f>
        <v>C2</v>
      </c>
      <c r="AB72" s="358" t="str">
        <f t="shared" ca="1" si="1"/>
        <v>Denmark</v>
      </c>
      <c r="AC72" s="598" t="str">
        <f t="shared" ca="1" si="3"/>
        <v>DK</v>
      </c>
      <c r="AD72" s="275" t="s">
        <v>109</v>
      </c>
      <c r="AE72" s="275" t="str">
        <f t="shared" ca="1" si="2"/>
        <v>Germany</v>
      </c>
      <c r="AF72" s="358" t="str">
        <f t="shared" si="4"/>
        <v>DE</v>
      </c>
      <c r="AG72" s="275" t="str">
        <f t="shared" ca="1" si="5"/>
        <v>Germany</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Italy</v>
      </c>
      <c r="Z73" s="595" t="s">
        <v>2375</v>
      </c>
      <c r="AA73" s="600" t="str">
        <f ca="1">RIGHT(LEFT(Taal02!$B$48,(ROW()-66)*2),2)</f>
        <v>C4</v>
      </c>
      <c r="AB73" s="358" t="str">
        <f t="shared" ca="1" si="1"/>
        <v>England</v>
      </c>
      <c r="AC73" s="598" t="str">
        <f t="shared" ca="1" si="3"/>
        <v>GB</v>
      </c>
      <c r="AD73" s="275" t="s">
        <v>118</v>
      </c>
      <c r="AE73" s="275" t="str">
        <f t="shared" ca="1" si="2"/>
        <v>Denmark</v>
      </c>
      <c r="AF73" s="358" t="str">
        <f t="shared" si="4"/>
        <v>DK</v>
      </c>
      <c r="AG73" s="275" t="str">
        <f t="shared" ca="1" si="5"/>
        <v>Denmark</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Albania</v>
      </c>
      <c r="Z74" s="595" t="s">
        <v>2376</v>
      </c>
      <c r="AA74" s="600" t="str">
        <f ca="1">RIGHT(LEFT(Taal02!$B$48,(ROW()-66)*2),2)</f>
        <v>D4</v>
      </c>
      <c r="AB74" s="358" t="str">
        <f t="shared" ca="1" si="1"/>
        <v>France</v>
      </c>
      <c r="AC74" s="598" t="str">
        <f t="shared" ca="1" si="3"/>
        <v>FR</v>
      </c>
      <c r="AD74" s="275" t="s">
        <v>113</v>
      </c>
      <c r="AE74" s="275" t="str">
        <f t="shared" ca="1" si="2"/>
        <v>Spain</v>
      </c>
      <c r="AF74" s="358" t="str">
        <f t="shared" si="4"/>
        <v>ES</v>
      </c>
      <c r="AG74" s="275" t="str">
        <f t="shared" ca="1" si="5"/>
        <v>Spain</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Slovenia</v>
      </c>
      <c r="Z75" s="595" t="s">
        <v>2377</v>
      </c>
      <c r="AA75" s="600" t="str">
        <f ca="1">RIGHT(LEFT(Taal02!$B$48,(ROW()-66)*2),2)</f>
        <v>F2</v>
      </c>
      <c r="AB75" s="358" t="str">
        <f t="shared" ca="1" si="1"/>
        <v>Georgia</v>
      </c>
      <c r="AC75" s="598" t="str">
        <f t="shared" ca="1" si="3"/>
        <v>GE</v>
      </c>
      <c r="AD75" s="275" t="s">
        <v>123</v>
      </c>
      <c r="AE75" s="275" t="str">
        <f t="shared" ca="1" si="2"/>
        <v>France</v>
      </c>
      <c r="AF75" s="358" t="str">
        <f t="shared" si="4"/>
        <v>FR</v>
      </c>
      <c r="AG75" s="275" t="str">
        <f t="shared" ca="1" si="5"/>
        <v>France</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Denmark</v>
      </c>
      <c r="Z76" s="595" t="s">
        <v>469</v>
      </c>
      <c r="AA76" s="600" t="str">
        <f ca="1">RIGHT(LEFT(Taal02!$B$48,(ROW()-66)*2),2)</f>
        <v>A1</v>
      </c>
      <c r="AB76" s="358" t="str">
        <f t="shared" ca="1" si="1"/>
        <v>Germany</v>
      </c>
      <c r="AC76" s="598" t="str">
        <f t="shared" ca="1" si="3"/>
        <v>DE</v>
      </c>
      <c r="AD76" s="275" t="s">
        <v>128</v>
      </c>
      <c r="AE76" s="275" t="str">
        <f t="shared" ca="1" si="2"/>
        <v>England</v>
      </c>
      <c r="AF76" s="358" t="str">
        <f t="shared" si="4"/>
        <v>GB</v>
      </c>
      <c r="AG76" s="275" t="str">
        <f t="shared" ca="1" si="5"/>
        <v>England</v>
      </c>
    </row>
    <row r="77" spans="2:33" hidden="1" x14ac:dyDescent="0.25">
      <c r="B77" s="5"/>
      <c r="C77" s="5" t="str">
        <f ca="1">UPPER(Taal01!$B$6&amp;" ("&amp;Taal01!$B$7&amp;")")</f>
        <v>EURO 2024 (GERMANY)</v>
      </c>
      <c r="D77" s="5"/>
      <c r="E77" s="5"/>
      <c r="F77" s="5"/>
      <c r="G77" s="5"/>
      <c r="H77" s="5"/>
      <c r="I77" s="5"/>
      <c r="J77" s="5"/>
      <c r="K77" s="5"/>
      <c r="L77" s="5"/>
      <c r="M77" s="5"/>
      <c r="N77" s="5"/>
      <c r="O77" s="5"/>
      <c r="P77" s="5"/>
      <c r="Q77" s="5"/>
      <c r="R77" s="5"/>
      <c r="S77" s="5"/>
      <c r="T77" s="5"/>
      <c r="U77" s="48"/>
      <c r="V77" s="48"/>
      <c r="W77" s="48"/>
      <c r="X77" s="616" t="s">
        <v>119</v>
      </c>
      <c r="Y77" s="595" t="str">
        <f ca="1">Taal02!$B$19</f>
        <v>Serbia</v>
      </c>
      <c r="Z77" s="595" t="s">
        <v>1866</v>
      </c>
      <c r="AA77" s="600" t="str">
        <f ca="1">RIGHT(LEFT(Taal02!$B$48,(ROW()-66)*2),2)</f>
        <v>A3</v>
      </c>
      <c r="AB77" s="358" t="str">
        <f t="shared" ca="1" si="1"/>
        <v>Hungary</v>
      </c>
      <c r="AC77" s="598" t="str">
        <f t="shared" ca="1" si="3"/>
        <v>HU</v>
      </c>
      <c r="AD77" s="275" t="s">
        <v>130</v>
      </c>
      <c r="AE77" s="275" t="str">
        <f t="shared" ca="1" si="2"/>
        <v>Georgia</v>
      </c>
      <c r="AF77" s="358" t="str">
        <f t="shared" si="4"/>
        <v>GE</v>
      </c>
      <c r="AG77" s="275" t="str">
        <f t="shared" ca="1" si="5"/>
        <v>Georgia</v>
      </c>
    </row>
    <row r="78" spans="2:33" hidden="1" x14ac:dyDescent="0.25">
      <c r="B78" s="5"/>
      <c r="C78" s="5" t="str">
        <f ca="1">UPPER(Taal01!$B$15)</f>
        <v>THE MANAGER FILE</v>
      </c>
      <c r="D78" s="5"/>
      <c r="E78" s="5"/>
      <c r="F78" s="5"/>
      <c r="G78" s="5"/>
      <c r="H78" s="5"/>
      <c r="I78" s="5"/>
      <c r="J78" s="5"/>
      <c r="K78" s="5"/>
      <c r="L78" s="5"/>
      <c r="M78" s="5"/>
      <c r="N78" s="5"/>
      <c r="O78" s="5"/>
      <c r="P78" s="5"/>
      <c r="Q78" s="5"/>
      <c r="R78" s="5"/>
      <c r="S78" s="5"/>
      <c r="T78" s="5"/>
      <c r="U78" s="48"/>
      <c r="V78" s="48"/>
      <c r="W78" s="48"/>
      <c r="X78" s="616" t="s">
        <v>128</v>
      </c>
      <c r="Y78" s="595" t="str">
        <f ca="1">Taal02!$B$20</f>
        <v>England</v>
      </c>
      <c r="Z78" s="595" t="s">
        <v>472</v>
      </c>
      <c r="AA78" s="600" t="str">
        <f ca="1">RIGHT(LEFT(Taal02!$B$48,(ROW()-66)*2),2)</f>
        <v>B3</v>
      </c>
      <c r="AB78" s="358" t="str">
        <f t="shared" ca="1" si="1"/>
        <v>Italy</v>
      </c>
      <c r="AC78" s="598" t="str">
        <f t="shared" ca="1" si="3"/>
        <v>IT</v>
      </c>
      <c r="AD78" s="275" t="s">
        <v>114</v>
      </c>
      <c r="AE78" s="275" t="str">
        <f t="shared" ca="1" si="2"/>
        <v>Croatia</v>
      </c>
      <c r="AF78" s="358" t="str">
        <f t="shared" si="4"/>
        <v>HR</v>
      </c>
      <c r="AG78" s="275" t="str">
        <f t="shared" ca="1" si="5"/>
        <v>Croatia</v>
      </c>
    </row>
    <row r="79" spans="2:33" hidden="1" x14ac:dyDescent="0.25">
      <c r="B79" s="5"/>
      <c r="C79" s="5" t="str">
        <f ca="1">UPPER(Taal01!$B$20)</f>
        <v>ADDITIONAL ADMINISTRATOR MODULE FOR THE ORGANIZERS</v>
      </c>
      <c r="D79" s="5"/>
      <c r="E79" s="5"/>
      <c r="F79" s="5"/>
      <c r="G79" s="5"/>
      <c r="H79" s="5"/>
      <c r="I79" s="5"/>
      <c r="J79" s="5"/>
      <c r="K79" s="5"/>
      <c r="L79" s="5" t="str">
        <f ca="1">UPPER(Taal01!B27)</f>
        <v>PLEASE NOTE: FOR OPTIONAL USE OF THE MANAGER'S FILE, IT IS RECOMMENDED TO ENABLE THE MACROS.</v>
      </c>
      <c r="M79" s="5"/>
      <c r="N79" s="5"/>
      <c r="O79" s="5"/>
      <c r="P79" s="5"/>
      <c r="Q79" s="5"/>
      <c r="R79" s="5"/>
      <c r="S79" s="5"/>
      <c r="T79" s="5"/>
      <c r="U79" s="48"/>
      <c r="V79" s="48"/>
      <c r="W79" s="48"/>
      <c r="X79" s="616" t="s">
        <v>120</v>
      </c>
      <c r="Y79" s="595" t="str">
        <f ca="1">Taal02!$B$22</f>
        <v>Poland</v>
      </c>
      <c r="Z79" s="595" t="s">
        <v>2474</v>
      </c>
      <c r="AA79" s="600" t="str">
        <f ca="1">RIGHT(LEFT(Taal02!$B$48,(ROW()-66)*2),2)</f>
        <v>D2</v>
      </c>
      <c r="AB79" s="358" t="str">
        <f t="shared" ca="1" si="1"/>
        <v>Netherlands</v>
      </c>
      <c r="AC79" s="598" t="str">
        <f t="shared" ca="1" si="3"/>
        <v>NL</v>
      </c>
      <c r="AD79" s="275" t="s">
        <v>111</v>
      </c>
      <c r="AE79" s="275" t="str">
        <f t="shared" ca="1" si="2"/>
        <v>Hungary</v>
      </c>
      <c r="AF79" s="358" t="str">
        <f t="shared" si="4"/>
        <v>HU</v>
      </c>
      <c r="AG79" s="275" t="str">
        <f t="shared" ca="1" si="5"/>
        <v>Hungary</v>
      </c>
    </row>
    <row r="80" spans="2:33" hidden="1" x14ac:dyDescent="0.25">
      <c r="B80" s="5"/>
      <c r="C80" s="5" t="str">
        <f ca="1">UPPER(Taal01!$B$21)</f>
        <v>THE PARTICIPATION FORM</v>
      </c>
      <c r="D80" s="5"/>
      <c r="E80" s="5"/>
      <c r="F80" s="5"/>
      <c r="G80" s="5"/>
      <c r="H80" s="5"/>
      <c r="I80" s="5"/>
      <c r="J80" s="5"/>
      <c r="K80" s="5"/>
      <c r="L80" s="5" t="str">
        <f ca="1">UPPER(Taal01!B28)</f>
        <v>PLEASE NOTE: THIS MODULE MAKES USE OF MACROS. IT'S RECOMMENDED TO ENABLE THE MACROS.</v>
      </c>
      <c r="M80" s="5"/>
      <c r="N80" s="5"/>
      <c r="O80" s="5"/>
      <c r="P80" s="5"/>
      <c r="Q80" s="5"/>
      <c r="R80" s="5"/>
      <c r="S80" s="5"/>
      <c r="T80" s="5"/>
      <c r="U80" s="48"/>
      <c r="V80" s="48"/>
      <c r="W80" s="48"/>
      <c r="X80" s="616" t="s">
        <v>121</v>
      </c>
      <c r="Y80" s="595" t="str">
        <f ca="1">Taal02!$B$23</f>
        <v>Netherlands</v>
      </c>
      <c r="Z80" s="595" t="s">
        <v>857</v>
      </c>
      <c r="AA80" s="600" t="str">
        <f ca="1">RIGHT(LEFT(Taal02!$B$48,(ROW()-66)*2),2)</f>
        <v>D1</v>
      </c>
      <c r="AB80" s="358" t="str">
        <f t="shared" ca="1" si="1"/>
        <v>Poland</v>
      </c>
      <c r="AC80" s="598" t="str">
        <f t="shared" ca="1" si="3"/>
        <v>PL</v>
      </c>
      <c r="AD80" s="275" t="s">
        <v>115</v>
      </c>
      <c r="AE80" s="275" t="str">
        <f t="shared" ca="1" si="2"/>
        <v>Italy</v>
      </c>
      <c r="AF80" s="358" t="str">
        <f t="shared" si="4"/>
        <v>IT</v>
      </c>
      <c r="AG80" s="275" t="str">
        <f t="shared" ca="1" si="5"/>
        <v>Italy</v>
      </c>
    </row>
    <row r="81" spans="2:33" hidden="1" x14ac:dyDescent="0.25">
      <c r="B81" s="5"/>
      <c r="C81" s="5" t="str">
        <f ca="1">UPPER(Taal01!$B$22)</f>
        <v>THE EXCEL PARTICIPATION FORM</v>
      </c>
      <c r="D81" s="5"/>
      <c r="E81" s="5"/>
      <c r="F81" s="5"/>
      <c r="G81" s="5"/>
      <c r="H81" s="5"/>
      <c r="I81" s="5"/>
      <c r="J81" s="5"/>
      <c r="K81" s="5"/>
      <c r="L81" s="5" t="str">
        <f ca="1">UPPER(Taal01!B29)</f>
        <v>PLEASE NOTE: THIS FORM DOES NOT CONTAIN ANY RULES. ASK YOUR ORGANIZER TO ADD THESE.</v>
      </c>
      <c r="M81" s="5"/>
      <c r="N81" s="5"/>
      <c r="O81" s="5"/>
      <c r="P81" s="5"/>
      <c r="Q81" s="5"/>
      <c r="R81" s="5"/>
      <c r="S81" s="5"/>
      <c r="T81" s="5"/>
      <c r="U81" s="48"/>
      <c r="V81" s="48"/>
      <c r="W81" s="48"/>
      <c r="X81" s="616" t="s">
        <v>122</v>
      </c>
      <c r="Y81" s="595" t="str">
        <f ca="1">Taal02!$B$24</f>
        <v>Austria</v>
      </c>
      <c r="Z81" s="595" t="s">
        <v>2379</v>
      </c>
      <c r="AA81" s="600" t="str">
        <f ca="1">RIGHT(LEFT(Taal02!$B$48,(ROW()-66)*2),2)</f>
        <v>F3</v>
      </c>
      <c r="AB81" s="358" t="str">
        <f t="shared" ca="1" si="1"/>
        <v>Portugal</v>
      </c>
      <c r="AC81" s="598" t="str">
        <f t="shared" ca="1" si="3"/>
        <v>PT</v>
      </c>
      <c r="AD81" s="275" t="s">
        <v>121</v>
      </c>
      <c r="AE81" s="275" t="str">
        <f t="shared" ca="1" si="2"/>
        <v>Netherlands</v>
      </c>
      <c r="AF81" s="358" t="str">
        <f t="shared" si="4"/>
        <v>NL</v>
      </c>
      <c r="AG81" s="275" t="str">
        <f t="shared" ca="1" si="5"/>
        <v>Netherlands</v>
      </c>
    </row>
    <row r="82" spans="2:33" hidden="1" x14ac:dyDescent="0.25">
      <c r="B82" s="5"/>
      <c r="C82" s="5" t="str">
        <f ca="1">UPPER(Taal01!$B$23)</f>
        <v>EXTERNAL RANKING</v>
      </c>
      <c r="D82" s="5"/>
      <c r="E82" s="5"/>
      <c r="F82" s="5"/>
      <c r="G82" s="5"/>
      <c r="H82" s="5"/>
      <c r="I82" s="5"/>
      <c r="J82" s="5"/>
      <c r="K82" s="5"/>
      <c r="L82" s="5" t="str">
        <f ca="1">UPPER(IF(LEN(S65)=2,Taal01!$B$30,Taal01!$B$31))</f>
        <v>PLEASE NOTE: THIS MODULE USES MACROS AND IS SUITABLE FOR MAXIMUM ### PARTICIPANTS.</v>
      </c>
      <c r="M82" s="5"/>
      <c r="N82" s="5"/>
      <c r="O82" s="5"/>
      <c r="P82" s="5"/>
      <c r="Q82" s="5"/>
      <c r="R82" s="5"/>
      <c r="S82" s="5"/>
      <c r="T82" s="5"/>
      <c r="U82" s="48"/>
      <c r="V82" s="48"/>
      <c r="W82" s="48"/>
      <c r="X82" s="616" t="s">
        <v>123</v>
      </c>
      <c r="Y82" s="595" t="str">
        <f ca="1">Taal02!$B$25</f>
        <v>France</v>
      </c>
      <c r="Z82" s="595" t="s">
        <v>467</v>
      </c>
      <c r="AA82" s="600" t="str">
        <f ca="1">RIGHT(LEFT(Taal02!$B$48,(ROW()-66)*2),2)</f>
        <v>E3</v>
      </c>
      <c r="AB82" s="358" t="str">
        <f t="shared" ca="1" si="1"/>
        <v>Romania</v>
      </c>
      <c r="AC82" s="598" t="str">
        <f t="shared" ca="1" si="3"/>
        <v>RO</v>
      </c>
      <c r="AD82" s="275" t="s">
        <v>120</v>
      </c>
      <c r="AE82" s="275" t="str">
        <f t="shared" ca="1" si="2"/>
        <v>Poland</v>
      </c>
      <c r="AF82" s="358" t="str">
        <f t="shared" si="4"/>
        <v>PL</v>
      </c>
      <c r="AG82" s="275" t="str">
        <f t="shared" ca="1" si="5"/>
        <v>Poland</v>
      </c>
    </row>
    <row r="83" spans="2:33" hidden="1" x14ac:dyDescent="0.25">
      <c r="B83" s="5"/>
      <c r="C83" s="5" t="str">
        <f ca="1">UPPER(Taal01!$B$24)</f>
        <v>EXTENSION MODULE FOR THE MANAGER'S FILE</v>
      </c>
      <c r="D83" s="5"/>
      <c r="E83" s="5"/>
      <c r="F83" s="5"/>
      <c r="G83" s="5"/>
      <c r="H83" s="5"/>
      <c r="I83" s="5"/>
      <c r="J83" s="5"/>
      <c r="K83" s="5"/>
      <c r="L83" s="5" t="str">
        <f ca="1">UPPER(Taal01!B32)</f>
        <v>PLEASE NOTE: THIS UPDATE MAKES USE OF MACROS. IT'S RECOMMENDED TO ENABLE THE MACROS.</v>
      </c>
      <c r="M83" s="5"/>
      <c r="N83" s="5"/>
      <c r="O83" s="5"/>
      <c r="P83" s="5"/>
      <c r="Q83" s="5"/>
      <c r="R83" s="5"/>
      <c r="S83" s="5"/>
      <c r="T83" s="5"/>
      <c r="U83" s="48"/>
      <c r="V83" s="48"/>
      <c r="W83" s="48"/>
      <c r="X83" s="616" t="s">
        <v>124</v>
      </c>
      <c r="Y83" s="595" t="str">
        <f ca="1">Taal02!$B$27</f>
        <v>Belgium</v>
      </c>
      <c r="Z83" s="595" t="s">
        <v>464</v>
      </c>
      <c r="AA83" s="600" t="str">
        <f ca="1">RIGHT(LEFT(Taal02!$B$48,(ROW()-66)*2),2)</f>
        <v>A2</v>
      </c>
      <c r="AB83" s="358" t="str">
        <f t="shared" ca="1" si="1"/>
        <v>Scotland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FOR THE EXCEL EC POOL TO VERSION</v>
      </c>
      <c r="D84" s="51"/>
      <c r="E84" s="51"/>
      <c r="F84" s="51"/>
      <c r="G84" s="51"/>
      <c r="H84" s="51"/>
      <c r="I84" s="51"/>
      <c r="J84" s="51"/>
      <c r="K84" s="51"/>
      <c r="L84" s="5"/>
      <c r="M84" s="5"/>
      <c r="N84" s="5"/>
      <c r="O84" s="5"/>
      <c r="P84" s="5"/>
      <c r="Q84" s="5"/>
      <c r="R84" s="5"/>
      <c r="S84" s="5"/>
      <c r="T84" s="5"/>
      <c r="U84" s="48"/>
      <c r="V84" s="48"/>
      <c r="W84" s="48"/>
      <c r="X84" s="616" t="s">
        <v>125</v>
      </c>
      <c r="Y84" s="595" t="str">
        <f ca="1">Taal02!$B$28</f>
        <v>Slovakia</v>
      </c>
      <c r="Z84" s="595" t="s">
        <v>2378</v>
      </c>
      <c r="AA84" s="600" t="str">
        <f ca="1">RIGHT(LEFT(Taal02!$B$48,(ROW()-66)*2),2)</f>
        <v>C3</v>
      </c>
      <c r="AB84" s="358" t="str">
        <f t="shared" ca="1" si="1"/>
        <v>Serbia</v>
      </c>
      <c r="AC84" s="598" t="str">
        <f t="shared" ca="1" si="3"/>
        <v>RS</v>
      </c>
      <c r="AD84" s="275" t="s">
        <v>126</v>
      </c>
      <c r="AE84" s="275" t="str">
        <f t="shared" ca="1" si="2"/>
        <v>Romania</v>
      </c>
      <c r="AF84" s="358" t="str">
        <f t="shared" si="4"/>
        <v>RO</v>
      </c>
      <c r="AG84" s="275" t="str">
        <f t="shared" ca="1" si="5"/>
        <v>Romania</v>
      </c>
    </row>
    <row r="85" spans="2:33" hidden="1" x14ac:dyDescent="0.25">
      <c r="B85" s="5"/>
      <c r="C85" s="96" t="s">
        <v>100</v>
      </c>
      <c r="D85" s="111" t="s">
        <v>16</v>
      </c>
      <c r="E85" s="5" t="str">
        <f ca="1">$C$78&amp;" "&amp;$C$77</f>
        <v>THE MANAGER FILE EURO 2024 (GERMANY)</v>
      </c>
      <c r="F85" s="5"/>
      <c r="G85" s="5"/>
      <c r="H85" s="5"/>
      <c r="I85" s="5"/>
      <c r="J85" s="5"/>
      <c r="K85" s="5"/>
      <c r="L85" s="5" t="str">
        <f ca="1">IF(H66="deelnemer","",L79)</f>
        <v>PLEASE NOTE: FOR OPTIONAL USE OF THE MANAGER'S FILE, IT IS RECOMMENDED TO ENABLE THE MACROS.</v>
      </c>
      <c r="M85" s="5"/>
      <c r="N85" s="5"/>
      <c r="O85" s="5"/>
      <c r="P85" s="5"/>
      <c r="Q85" s="5"/>
      <c r="R85" s="5"/>
      <c r="S85" s="5"/>
      <c r="T85" s="5"/>
      <c r="U85" s="48"/>
      <c r="V85" s="48"/>
      <c r="W85" s="48"/>
      <c r="X85" s="616" t="s">
        <v>126</v>
      </c>
      <c r="Y85" s="595" t="str">
        <f ca="1">Taal02!$B$29</f>
        <v>Romania</v>
      </c>
      <c r="Z85" s="595" t="s">
        <v>2380</v>
      </c>
      <c r="AA85" s="600" t="str">
        <f ca="1">RIGHT(LEFT(Taal02!$B$48,(ROW()-66)*2),2)</f>
        <v>E2</v>
      </c>
      <c r="AB85" s="358" t="str">
        <f t="shared" ca="1" si="1"/>
        <v>Slovakia</v>
      </c>
      <c r="AC85" s="598" t="str">
        <f t="shared" ca="1" si="3"/>
        <v>SK</v>
      </c>
      <c r="AD85" s="275" t="s">
        <v>119</v>
      </c>
      <c r="AE85" s="275" t="str">
        <f t="shared" ca="1" si="2"/>
        <v>Serbia</v>
      </c>
      <c r="AF85" s="358" t="str">
        <f t="shared" si="4"/>
        <v>RS</v>
      </c>
      <c r="AG85" s="275" t="str">
        <f t="shared" ca="1" si="5"/>
        <v>Serbia</v>
      </c>
    </row>
    <row r="86" spans="2:33" hidden="1" x14ac:dyDescent="0.25">
      <c r="B86" s="5"/>
      <c r="C86" s="525" t="str">
        <f>CHAR(CODE(C85)+1)</f>
        <v>b</v>
      </c>
      <c r="D86" s="526" t="s">
        <v>16</v>
      </c>
      <c r="E86" s="527" t="str">
        <f ca="1">$C$78&amp;" "&amp;$C$77</f>
        <v>THE MANAGER FILE EURO 2024 (GERMANY)</v>
      </c>
      <c r="F86" s="527"/>
      <c r="G86" s="527"/>
      <c r="H86" s="527"/>
      <c r="I86" s="527"/>
      <c r="J86" s="527"/>
      <c r="K86" s="527"/>
      <c r="L86" s="5" t="str">
        <f>""</f>
        <v/>
      </c>
      <c r="M86" s="5"/>
      <c r="N86" s="5"/>
      <c r="O86" s="5"/>
      <c r="P86" s="5"/>
      <c r="Q86" s="5"/>
      <c r="R86" s="5"/>
      <c r="S86" s="5"/>
      <c r="T86" s="5"/>
      <c r="U86" s="48"/>
      <c r="V86" s="48"/>
      <c r="W86" s="48"/>
      <c r="X86" s="616" t="s">
        <v>127</v>
      </c>
      <c r="Y86" s="595" t="str">
        <f ca="1">Taal02!$B$30</f>
        <v>Ukraine</v>
      </c>
      <c r="Z86" s="595" t="s">
        <v>2475</v>
      </c>
      <c r="AA86" s="600" t="str">
        <f ca="1">RIGHT(LEFT(Taal02!$B$48,(ROW()-66)*2),2)</f>
        <v>C1</v>
      </c>
      <c r="AB86" s="358" t="str">
        <f t="shared" ca="1" si="1"/>
        <v>Slovenia</v>
      </c>
      <c r="AC86" s="598" t="str">
        <f ca="1">VLOOKUP($AA86,$X$67:$Z$98,3)</f>
        <v>SI</v>
      </c>
      <c r="AD86" s="275" t="s">
        <v>110</v>
      </c>
      <c r="AE86" s="275" t="str">
        <f t="shared" ca="1" si="2"/>
        <v>Scotland</v>
      </c>
      <c r="AF86" s="358" t="str">
        <f t="shared" si="4"/>
        <v>SC</v>
      </c>
      <c r="AG86" s="275" t="str">
        <f t="shared" ca="1" si="5"/>
        <v>Scotland</v>
      </c>
    </row>
    <row r="87" spans="2:33" hidden="1" x14ac:dyDescent="0.25">
      <c r="B87" s="5"/>
      <c r="C87" s="96" t="str">
        <f>CHAR(CODE(C86)+1)</f>
        <v>c</v>
      </c>
      <c r="D87" s="111" t="s">
        <v>16</v>
      </c>
      <c r="E87" s="5" t="str">
        <f ca="1">$C$78&amp;" "&amp;$C$77&amp;" - "&amp;UPPER(Taal01!$B$16)</f>
        <v>THE MANAGER FILE EURO 2024 (GERMANY) - DEMO</v>
      </c>
      <c r="F87" s="5"/>
      <c r="G87" s="5"/>
      <c r="H87" s="5"/>
      <c r="I87" s="5"/>
      <c r="J87" s="5"/>
      <c r="K87" s="5"/>
      <c r="L87" s="5" t="str">
        <f ca="1">IF(H66="deelnemer","",L79)</f>
        <v>PLEASE NOTE: FOR OPTIONAL USE OF THE MANAGER'S FILE, IT IS RECOMMENDED TO ENABLE THE MACROS.</v>
      </c>
      <c r="M87" s="5"/>
      <c r="N87" s="5"/>
      <c r="O87" s="5"/>
      <c r="P87" s="5"/>
      <c r="Q87" s="5"/>
      <c r="R87" s="5"/>
      <c r="S87" s="5"/>
      <c r="T87" s="5"/>
      <c r="U87" s="48"/>
      <c r="V87" s="48"/>
      <c r="W87" s="48"/>
      <c r="X87" s="616" t="s">
        <v>129</v>
      </c>
      <c r="Y87" s="595" t="str">
        <f ca="1">Taal02!$B$32</f>
        <v>Turkey</v>
      </c>
      <c r="Z87" s="595" t="s">
        <v>2381</v>
      </c>
      <c r="AA87" s="600" t="str">
        <f ca="1">RIGHT(LEFT(Taal02!$B$48,(ROW()-66)*2),2)</f>
        <v>B1</v>
      </c>
      <c r="AB87" s="358" t="str">
        <f t="shared" ca="1" si="1"/>
        <v>Spain</v>
      </c>
      <c r="AC87" s="598" t="str">
        <f t="shared" ca="1" si="3"/>
        <v>ES</v>
      </c>
      <c r="AD87" s="275" t="s">
        <v>117</v>
      </c>
      <c r="AE87" s="275" t="str">
        <f t="shared" ca="1" si="2"/>
        <v>Slovenia</v>
      </c>
      <c r="AF87" s="358" t="str">
        <f t="shared" si="4"/>
        <v>SI</v>
      </c>
      <c r="AG87" s="275" t="str">
        <f t="shared" ca="1" si="5"/>
        <v>Slovenia</v>
      </c>
    </row>
    <row r="88" spans="2:33" hidden="1" x14ac:dyDescent="0.25">
      <c r="B88" s="5"/>
      <c r="C88" s="96" t="str">
        <f>IF(LEN(S65)=2,IF(OR(RIGHT(S65,1)="e",RIGHT(S65,1)="g",RIGHT(S65,1)="i",RIGHT(S65,1)="k"),S65,"cc"),"cc")</f>
        <v>cc</v>
      </c>
      <c r="D88" s="111" t="s">
        <v>16</v>
      </c>
      <c r="E88" s="5" t="str">
        <f ca="1">$C$80&amp;" "&amp;$C$77</f>
        <v>THE PARTICIPATION FORM EURO 2024 (GERMANY)</v>
      </c>
      <c r="F88" s="5"/>
      <c r="G88" s="5"/>
      <c r="H88" s="5"/>
      <c r="I88" s="5"/>
      <c r="J88" s="5"/>
      <c r="K88" s="5"/>
      <c r="L88" s="5" t="str">
        <f>IF($P$66="JA","",$L$81)</f>
        <v/>
      </c>
      <c r="M88" s="5"/>
      <c r="N88" s="5"/>
      <c r="O88" s="5"/>
      <c r="P88" s="5"/>
      <c r="Q88" s="5"/>
      <c r="R88" s="5"/>
      <c r="S88" s="5"/>
      <c r="T88" s="5"/>
      <c r="U88" s="48"/>
      <c r="V88" s="48"/>
      <c r="W88" s="48"/>
      <c r="X88" s="616" t="s">
        <v>130</v>
      </c>
      <c r="Y88" s="595" t="str">
        <f ca="1">Taal02!$B$33</f>
        <v>Georgia</v>
      </c>
      <c r="Z88" s="595" t="s">
        <v>2476</v>
      </c>
      <c r="AA88" s="600" t="str">
        <f ca="1">RIGHT(LEFT(Taal02!$B$48,(ROW()-66)*2),2)</f>
        <v>A4</v>
      </c>
      <c r="AB88" s="358" t="str">
        <f t="shared" ca="1" si="1"/>
        <v>Switzerland</v>
      </c>
      <c r="AC88" s="598" t="str">
        <f t="shared" ca="1" si="3"/>
        <v>CH</v>
      </c>
      <c r="AD88" s="275" t="s">
        <v>125</v>
      </c>
      <c r="AE88" s="275" t="str">
        <f t="shared" ca="1" si="2"/>
        <v>Slovakia</v>
      </c>
      <c r="AF88" s="358" t="str">
        <f t="shared" si="4"/>
        <v>SK</v>
      </c>
      <c r="AG88" s="275" t="str">
        <f t="shared" ca="1" si="5"/>
        <v>Slovakia</v>
      </c>
    </row>
    <row r="89" spans="2:33" hidden="1" x14ac:dyDescent="0.25">
      <c r="B89" s="5"/>
      <c r="C89" s="96" t="str">
        <f>IF(LEN(S65)=2,IF(OR(RIGHT(S65,1)="d",RIGHT(S65,1)="f",RIGHT(S65,1)="h",RIGHT(S65,1)="j"),S65,"ll"),"ll")</f>
        <v>dh</v>
      </c>
      <c r="D89" s="111" t="s">
        <v>16</v>
      </c>
      <c r="E89" s="5" t="str">
        <f ca="1">$C$81&amp;" "&amp;$C$77</f>
        <v>THE EXCEL PARTICIPATION FORM EURO 2024 (GERMANY)</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Turkey</v>
      </c>
      <c r="AC89" s="598" t="str">
        <f t="shared" ca="1" si="3"/>
        <v>TR</v>
      </c>
      <c r="AD89" s="275" t="s">
        <v>129</v>
      </c>
      <c r="AE89" s="275" t="str">
        <f t="shared" ca="1" si="2"/>
        <v>Turkey</v>
      </c>
      <c r="AF89" s="358" t="str">
        <f t="shared" si="4"/>
        <v>TR</v>
      </c>
      <c r="AG89" s="275" t="str">
        <f t="shared" ca="1" si="5"/>
        <v>Turkey</v>
      </c>
    </row>
    <row r="90" spans="2:33" hidden="1" x14ac:dyDescent="0.25">
      <c r="B90" s="5"/>
      <c r="C90" s="96" t="str">
        <f>IF(LEN($S$65)=1,"r","rr")</f>
        <v>rr</v>
      </c>
      <c r="D90" s="111" t="s">
        <v>16</v>
      </c>
      <c r="E90" s="5" t="str">
        <f t="shared" ref="E90:E95" ca="1" si="6">IF(LEN($S$65)=1,$C$82&amp;" "&amp;$C$77,$C$83)</f>
        <v>EXTENSION MODULE FOR THE MANAGER'S FILE</v>
      </c>
      <c r="F90" s="5"/>
      <c r="G90" s="5"/>
      <c r="H90" s="5"/>
      <c r="I90" s="5"/>
      <c r="J90" s="5"/>
      <c r="K90" s="5"/>
      <c r="L90" s="5" t="str">
        <f t="shared" ref="L90:L95" ca="1" si="7">SUBSTITUTE($L$82,"###",$P$67)</f>
        <v>PLEASE NOTE: THIS MODULE USES MACROS AND IS SUITABLE FOR MAXIMUM nvt PARTICIPANTS.</v>
      </c>
      <c r="M90" s="5"/>
      <c r="N90" s="5"/>
      <c r="O90" s="5"/>
      <c r="P90" s="5"/>
      <c r="Q90" s="5"/>
      <c r="R90" s="5"/>
      <c r="S90" s="5"/>
      <c r="T90" s="5"/>
      <c r="U90" s="48"/>
      <c r="V90" s="48"/>
      <c r="W90" s="48"/>
      <c r="X90" s="616" t="s">
        <v>132</v>
      </c>
      <c r="Y90" s="595" t="str">
        <f ca="1">Taal02!$B$35</f>
        <v>Czech Republic</v>
      </c>
      <c r="Z90" s="595" t="s">
        <v>2382</v>
      </c>
      <c r="AA90" s="600" t="str">
        <f ca="1">RIGHT(LEFT(Taal02!$B$48,(ROW()-66)*2),2)</f>
        <v>E4</v>
      </c>
      <c r="AB90" s="358" t="str">
        <f t="shared" ca="1" si="1"/>
        <v>Ukraine</v>
      </c>
      <c r="AC90" s="598" t="str">
        <f t="shared" ca="1" si="3"/>
        <v>UA</v>
      </c>
      <c r="AD90" s="275" t="s">
        <v>127</v>
      </c>
      <c r="AE90" s="275" t="str">
        <f t="shared" ca="1" si="2"/>
        <v>Ukraine</v>
      </c>
      <c r="AF90" s="358" t="str">
        <f t="shared" si="4"/>
        <v>UA</v>
      </c>
      <c r="AG90" s="275" t="str">
        <f t="shared" ca="1" si="5"/>
        <v>Ukraine</v>
      </c>
    </row>
    <row r="91" spans="2:33" hidden="1" x14ac:dyDescent="0.25">
      <c r="B91" s="5"/>
      <c r="C91" s="96" t="str">
        <f>IF(LEN($S$65)=1,"s","ss")</f>
        <v>ss</v>
      </c>
      <c r="D91" s="111" t="s">
        <v>16</v>
      </c>
      <c r="E91" s="5" t="str">
        <f t="shared" ca="1" si="6"/>
        <v>EXTENSION MODULE FOR THE MANAGER'S FILE</v>
      </c>
      <c r="F91" s="5"/>
      <c r="G91" s="5"/>
      <c r="H91" s="5"/>
      <c r="I91" s="5"/>
      <c r="J91" s="5"/>
      <c r="K91" s="5"/>
      <c r="L91" s="5" t="str">
        <f t="shared" ca="1" si="7"/>
        <v>PLEASE NOTE: THIS MODULE USES MACROS AND IS SUITABLE FOR MAXIMUM nvt PARTICIPANTS.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EXTENSION MODULE FOR THE MANAGER'S FILE</v>
      </c>
      <c r="F92" s="5"/>
      <c r="G92" s="5"/>
      <c r="H92" s="5"/>
      <c r="I92" s="5"/>
      <c r="J92" s="5"/>
      <c r="K92" s="5"/>
      <c r="L92" s="5" t="str">
        <f t="shared" ca="1" si="7"/>
        <v>PLEASE NOTE: THIS MODULE USES MACROS AND IS SUITABLE FOR MAXIMUM nvt PARTICIPANTS.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EXTENSION MODULE FOR THE MANAGER'S FILE</v>
      </c>
      <c r="F93" s="5"/>
      <c r="G93" s="5"/>
      <c r="H93" s="5"/>
      <c r="I93" s="5"/>
      <c r="J93" s="5"/>
      <c r="K93" s="5"/>
      <c r="L93" s="5" t="str">
        <f t="shared" ca="1" si="7"/>
        <v>PLEASE NOTE: THIS MODULE USES MACROS AND IS SUITABLE FOR MAXIMUM nvt PARTICIPANTS.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EXTENSION MODULE FOR THE MANAGER'S FILE</v>
      </c>
      <c r="F94" s="5"/>
      <c r="G94" s="5"/>
      <c r="H94" s="5"/>
      <c r="I94" s="5"/>
      <c r="J94" s="5"/>
      <c r="K94" s="5"/>
      <c r="L94" s="5" t="str">
        <f t="shared" ca="1" si="7"/>
        <v>PLEASE NOTE: THIS MODULE USES MACROS AND IS SUITABLE FOR MAXIMUM nvt PARTICIPANTS.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EXTENSION MODULE FOR THE MANAGER'S FILE</v>
      </c>
      <c r="F95" s="5"/>
      <c r="G95" s="5"/>
      <c r="H95" s="5"/>
      <c r="I95" s="5"/>
      <c r="J95" s="5"/>
      <c r="K95" s="5"/>
      <c r="L95" s="5" t="str">
        <f t="shared" ca="1" si="7"/>
        <v>PLEASE NOTE: THIS MODULE USES MACROS AND IS SUITABLE FOR MAXIMUM nvt PARTICIPANTS.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ADDITIONAL ADMINISTRATOR MODULE FOR THE ORGANIZERS</v>
      </c>
      <c r="F96" s="5"/>
      <c r="G96" s="5"/>
      <c r="H96" s="5"/>
      <c r="I96" s="5"/>
      <c r="J96" s="5"/>
      <c r="K96" s="5"/>
      <c r="L96" s="5" t="str">
        <f ca="1">$L$80</f>
        <v>PLEASE NOTE: THIS MODULE MAKES USE OF MACROS. IT'S RECOMMENDED TO ENABLE THE MACROS.</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FOR THE EXCEL EC POOL TO VERSION 24.00#</v>
      </c>
      <c r="F97" s="5"/>
      <c r="G97" s="5"/>
      <c r="H97" s="5"/>
      <c r="I97" s="5"/>
      <c r="J97" s="5"/>
      <c r="K97" s="5"/>
      <c r="L97" s="5" t="str">
        <f ca="1">$L$80</f>
        <v>PLEASE NOTE: THIS MODULE MAKES USE OF MACROS. IT'S RECOMMENDED TO ENABLE THE MACROS.</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 FILE FOT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topLeftCell="A1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Rules</v>
      </c>
      <c r="W2" s="1033"/>
      <c r="X2" s="1033"/>
      <c r="Y2" s="1033"/>
      <c r="Z2" s="1033"/>
    </row>
    <row r="3" spans="1:26" ht="15" customHeight="1" x14ac:dyDescent="0.25">
      <c r="B3" s="17"/>
      <c r="C3" s="974"/>
      <c r="D3" s="988" t="str">
        <f ca="1">IF(Q81=1,Taal03!B6,"")&amp;IF(N81*Q81=1," "&amp;SUBSTITUTE(Taal03!B7,"#",1),"")</f>
        <v>The Participation Rules (page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The Rules</v>
      </c>
      <c r="E5" s="976"/>
      <c r="F5" s="976"/>
      <c r="G5" s="976"/>
      <c r="H5" s="976"/>
      <c r="I5" s="976"/>
      <c r="J5" s="976"/>
      <c r="K5" s="976"/>
      <c r="L5" s="976"/>
      <c r="M5" s="976"/>
      <c r="N5" s="978"/>
      <c r="O5" s="1063"/>
      <c r="P5" s="1063"/>
      <c r="R5" s="38" t="str">
        <f ca="1">H92&amp;" "&amp;I92</f>
        <v>10 June</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The Participation Code and / or the Participation Form must be submitted to Jamilo (info@jamilo.nl) before 10 June.</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str">
        <f ca="1">IF(R10="geen",Taal03!B15,SUBSTITUTE(IF(H106=0,Taal03!B16,IF(C98= "NEE",Taal03!B17,Taal03!B18)),"###",FIXED(M106,2))&amp;" "&amp;IF(R71=RIGHT(S71,2),Taal03!B19,Taal03!B20))</f>
        <v>This pool has a mandatory buy-in of €5,00 for participation (see worksheet 'Prijzenpot' for more info).</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As a participant, it is not permitted to submit multiple participation forms.</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After the start of the opening ceremony it is no longer possible to adjust your predictions.</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It is not possible to predict results in which one team will score more than 9 goals. If a team scores more than 9 goals during one match, 9 goals will be noted for the result.</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During the knockout phase, the result that is reached after the end of the regular playing time including the injury time will be used. A draw in the knockout phase is therefore also possible.</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all cases for which these regulations do not provide the organiser will make the final decision.</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By submitting the participation form you agree to these competition rules.</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PREDICTING THE COUNTRIES IN THE KNOCKOUT PHASE</v>
      </c>
    </row>
    <row r="27" spans="1:21" ht="15" customHeight="1" x14ac:dyDescent="0.25">
      <c r="B27" s="17"/>
      <c r="C27" s="974"/>
      <c r="D27" s="988" t="str">
        <f ca="1">IF(Q81=1,Taal03!B49,"")</f>
        <v>The Score</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Points for correctly predicting the winner of the Europen Championship</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PREDICTING THE COUNTRIES IN THE KNOCKOUT PHASE</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Points for every correctly predicted country in the final (the country must be in the right position).</v>
      </c>
    </row>
    <row r="30" spans="1:21" ht="14.1" customHeight="1" x14ac:dyDescent="0.25">
      <c r="A30" s="392">
        <f>A29+3</f>
        <v>6</v>
      </c>
      <c r="B30" s="17"/>
      <c r="C30" s="949"/>
      <c r="D30" s="57">
        <f t="shared" ca="1" si="0"/>
        <v>30</v>
      </c>
      <c r="E30" s="1063" t="str">
        <f t="shared" ca="1" si="1"/>
        <v>Points for correctly predicting the winner of the Europen Championship</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Points for every correctly predicted country in the semi-finals (the country must be in the right position).</v>
      </c>
    </row>
    <row r="32" spans="1:21" ht="14.1" customHeight="1" x14ac:dyDescent="0.25">
      <c r="A32" s="392">
        <f t="shared" si="3"/>
        <v>12</v>
      </c>
      <c r="B32" s="17"/>
      <c r="C32" s="949"/>
      <c r="D32" s="57">
        <f t="shared" ca="1" si="0"/>
        <v>22</v>
      </c>
      <c r="E32" s="1063" t="str">
        <f t="shared" ca="1" si="1"/>
        <v>Points for every correctly predicted country in the final (the country must be in the right position).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Points for every correctly predicted country in the quarterfinals (the country must be in the right position).</v>
      </c>
    </row>
    <row r="33" spans="1:21" ht="14.1" customHeight="1" x14ac:dyDescent="0.25">
      <c r="A33" s="392">
        <f t="shared" si="3"/>
        <v>15</v>
      </c>
      <c r="B33" s="17"/>
      <c r="C33" s="949"/>
      <c r="D33" s="57">
        <f t="shared" ca="1" si="0"/>
        <v>16</v>
      </c>
      <c r="E33" s="1063" t="str">
        <f t="shared" ca="1" si="1"/>
        <v>Points for every correctly predicted country in the semi-finals (the country must be in the right position).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Points for every correctly predicted country in the round of 16 (the country must be in the right position).</v>
      </c>
    </row>
    <row r="34" spans="1:21" ht="14.1" customHeight="1" x14ac:dyDescent="0.25">
      <c r="A34" s="392">
        <f t="shared" si="3"/>
        <v>18</v>
      </c>
      <c r="B34" s="17"/>
      <c r="C34" s="949"/>
      <c r="D34" s="57">
        <f t="shared" ca="1" si="0"/>
        <v>10</v>
      </c>
      <c r="E34" s="1063" t="str">
        <f t="shared" ca="1" si="1"/>
        <v>Points for every correctly predicted country in the quarterfinals (the country must be in the right position).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Points for every correctly predicted country in the round of 16 (the country must be in the right position).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If you have not predicted the country in the correctly position but it has achieved the same knockout round,</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you will still receive half of the points for correctly predicting the country.</v>
      </c>
    </row>
    <row r="37" spans="1:21" ht="14.1" customHeight="1" x14ac:dyDescent="0.25">
      <c r="A37" s="392">
        <f t="shared" si="3"/>
        <v>27</v>
      </c>
      <c r="B37" s="17"/>
      <c r="C37" s="949"/>
      <c r="D37" s="57" t="str">
        <f t="shared" ca="1" si="0"/>
        <v>-</v>
      </c>
      <c r="E37" s="1063" t="str">
        <f t="shared" ca="1" si="1"/>
        <v>If you have not predicted the country in the correctly position but it has achieved the same knockout round,</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It is not allowed to predict a country multiple times in one knockout round.</v>
      </c>
    </row>
    <row r="38" spans="1:21" ht="14.1" customHeight="1" x14ac:dyDescent="0.25">
      <c r="A38" s="392">
        <f t="shared" si="3"/>
        <v>30</v>
      </c>
      <c r="B38" s="17"/>
      <c r="C38" s="949"/>
      <c r="D38" s="57" t="str">
        <f t="shared" ca="1" si="0"/>
        <v/>
      </c>
      <c r="E38" s="1063" t="str">
        <f t="shared" ca="1" si="1"/>
        <v>you will still receive half of the points for correctly predicting the country.</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Points for correctly predicting a country in the knockout phase are added when the result of the match</v>
      </c>
    </row>
    <row r="39" spans="1:21" ht="14.1" customHeight="1" x14ac:dyDescent="0.25">
      <c r="A39" s="392">
        <f t="shared" si="3"/>
        <v>33</v>
      </c>
      <c r="B39" s="17"/>
      <c r="C39" s="949"/>
      <c r="D39" s="57" t="str">
        <f t="shared" ca="1" si="0"/>
        <v>-</v>
      </c>
      <c r="E39" s="1063" t="str">
        <f t="shared" ca="1" si="1"/>
        <v>It is not allowed to predict a country multiple times in one knockout round.</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is known or when the predicted country has played its match.</v>
      </c>
    </row>
    <row r="40" spans="1:21" ht="14.1" customHeight="1" x14ac:dyDescent="0.25">
      <c r="A40" s="392">
        <f t="shared" si="3"/>
        <v>36</v>
      </c>
      <c r="B40" s="17"/>
      <c r="C40" s="949"/>
      <c r="D40" s="57" t="str">
        <f t="shared" ca="1" si="0"/>
        <v>-</v>
      </c>
      <c r="E40" s="1063" t="str">
        <f t="shared" ca="1" si="1"/>
        <v>Points for correctly predicting a country in the knockout phase are added when the result of the match</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is known or when the predicted country has played its match.</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PREDICTING THE FINAL RANKING OF THE COUNTRIES IN THE GROUP STAGE</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Points points for correctly predicting the position of the countries in each group after the group stage.</v>
      </c>
    </row>
    <row r="43" spans="1:21" ht="14.1" customHeight="1" x14ac:dyDescent="0.25">
      <c r="A43" s="392">
        <f t="shared" si="3"/>
        <v>45</v>
      </c>
      <c r="B43" s="17"/>
      <c r="C43" s="949"/>
      <c r="D43" s="57" t="str">
        <f t="shared" ca="1" si="0"/>
        <v/>
      </c>
      <c r="E43" s="1063" t="str">
        <f t="shared" ca="1" si="1"/>
        <v>PREDICTING THE FINAL RANKING OF THE COUNTRIES IN THE GROUP STAGE</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Each country may only be entered once when predicting the final ranking in the group.</v>
      </c>
    </row>
    <row r="44" spans="1:21" ht="14.1" customHeight="1" x14ac:dyDescent="0.25">
      <c r="A44" s="392">
        <f t="shared" si="3"/>
        <v>48</v>
      </c>
      <c r="B44" s="17"/>
      <c r="C44" s="949"/>
      <c r="D44" s="57">
        <f t="shared" ca="1" si="0"/>
        <v>5</v>
      </c>
      <c r="E44" s="1063" t="str">
        <f t="shared" ca="1" si="1"/>
        <v>Points points for correctly predicting the position of the countries in each group after the group stage.</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The points for each correct prediction are only added when the last match of the group has been played.</v>
      </c>
    </row>
    <row r="45" spans="1:21" ht="14.1" customHeight="1" x14ac:dyDescent="0.25">
      <c r="A45" s="392">
        <f t="shared" si="3"/>
        <v>51</v>
      </c>
      <c r="B45" s="17"/>
      <c r="C45" s="949"/>
      <c r="D45" s="57" t="str">
        <f t="shared" ca="1" si="0"/>
        <v>-</v>
      </c>
      <c r="E45" s="1063" t="str">
        <f t="shared" ca="1" si="1"/>
        <v>Each country may only be entered once when predicting the final ranking in the group.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The points for each correct prediction are only added when the last match of the group has been played.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PREDICTING THE TOTO AND THE MATCH RESULT</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Points for correctly predicting the TOTO (win / loss or draw).</v>
      </c>
    </row>
    <row r="48" spans="1:21" ht="14.1" customHeight="1" x14ac:dyDescent="0.25">
      <c r="A48" s="392">
        <f t="shared" si="3"/>
        <v>60</v>
      </c>
      <c r="B48" s="17"/>
      <c r="C48" s="949"/>
      <c r="D48" s="57" t="str">
        <f t="shared" ca="1" si="0"/>
        <v/>
      </c>
      <c r="E48" s="1063" t="str">
        <f t="shared" ca="1" si="1"/>
        <v>PREDICTING THE TOTO AND THE MATCH RESULT</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Points for correctly predicting the TOTO (win / loss or draw).</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Point for correctly predicting the number of goals scored per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In the knockout phase, it is not necessary to have correctly predicted the countries to claim points for</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predichting the TOTO and/or the match result.</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Point for correctly predicting the number of goals scored per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In the knockout phase, it is not necessary to have correctly predicted the countries to claim points for</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predichting the TOTO and/or the match result.</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In case of inconsistencies due to incorrect translation, the Dutch regulations prevail.</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June</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January</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February</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March</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May</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June</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July</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October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Prize pool</v>
      </c>
      <c r="T2" s="1033"/>
      <c r="U2" s="1033"/>
      <c r="V2" s="1033"/>
      <c r="W2" s="1033"/>
    </row>
    <row r="3" spans="1:23" ht="15" customHeight="1" x14ac:dyDescent="0.25">
      <c r="B3" s="17"/>
      <c r="C3" s="974"/>
      <c r="D3" s="988" t="str">
        <f ca="1">IF(P91=1,Taal03!B6&amp;IF(Q5*Q7=1," "&amp;SUBSTITUTE(Taal03!B7,"#",2),""),"")</f>
        <v>The Participation Rules (page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The Prize Pool</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To participate in this pool, you are obliged to pay the buy-in.</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The buy-in for this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 xml:space="preserve">The buy-in must be paid to the organizer before the start of the tournament.
</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If this is not done on time, your participation will be declared invalid.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The buy-in must be paid via a payment request that the organizer will send you.</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If several players are in the same position and are entitled to one of the prizes. Then the total</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sum of the prize money for the shared places will be divided among the relevant players.</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The distribution of the prize money is as follows:</v>
      </c>
      <c r="E23" s="362"/>
      <c r="F23" s="362"/>
      <c r="G23" s="362"/>
      <c r="H23" s="362"/>
      <c r="I23" s="362"/>
      <c r="J23" s="24" t="str">
        <f ca="1">IF(Q23=1,Taal03!$B$185,"")</f>
        <v>No.</v>
      </c>
      <c r="K23" s="25" t="str">
        <f>IF(Q23=1,"1 :","")</f>
        <v>1 :</v>
      </c>
      <c r="L23" s="26" t="str">
        <f t="shared" ref="L23:L32" ca="1" si="1">IF(Q23=1,IF($Q$20=1,M99,L99),"")</f>
        <v>50% of the prize pool</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No.</v>
      </c>
      <c r="K24" s="25" t="str">
        <f>IF(Q24=1,"2 :","")</f>
        <v>2 :</v>
      </c>
      <c r="L24" s="26" t="str">
        <f t="shared" ca="1" si="1"/>
        <v>30% of the prize pool</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No.</v>
      </c>
      <c r="K25" s="25" t="str">
        <f>IF(Q25=1,"3 :","")</f>
        <v>3 :</v>
      </c>
      <c r="L25" s="26" t="str">
        <f t="shared" ca="1" si="1"/>
        <v>20% of the prize pool</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of the prize pool</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of the prize pool</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of the prize pool</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of the prize pool</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of the prize pool</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of the prize pool</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of the prize pool</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of the prize pool</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of the prize pool</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of the prize pool</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J25" sqref="J25"/>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Group Matches</v>
      </c>
      <c r="BD2" s="1033"/>
      <c r="BE2" s="1033"/>
      <c r="BF2" s="1033"/>
      <c r="BG2" s="1033"/>
    </row>
    <row r="3" spans="1:59" ht="15" customHeight="1" x14ac:dyDescent="0.4">
      <c r="B3" s="17"/>
      <c r="C3" s="974"/>
      <c r="D3" s="988" t="str">
        <f ca="1">Taal04!B7&amp;" - "&amp;Taal04!B8</f>
        <v>Excel Participation Form - Group Stage</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Antonio#*Mitja#*(VVJ)</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21</v>
      </c>
      <c r="AB5" s="3"/>
      <c r="AC5" s="117" t="str">
        <f>AA7</f>
        <v>GOED</v>
      </c>
      <c r="AD5" s="117" t="str">
        <f>IF(AC5="GOED",AA6,"FOUT")</f>
        <v>|Antonio#*Mitja#*(VVJ)21</v>
      </c>
      <c r="AE5" s="117">
        <f>LEN(AD5)</f>
        <v>24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Name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|Antonio#*Mitja#*(VVJ)21</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 32 characters)</v>
      </c>
      <c r="M7" s="330"/>
      <c r="N7" s="335"/>
      <c r="O7" s="515" t="str">
        <f>IF(AND(AD21=1,AA83="NEE"),"└ e-mailadres is optioneel","")</f>
        <v/>
      </c>
      <c r="P7" s="509"/>
      <c r="Q7" s="335"/>
      <c r="R7" s="335"/>
      <c r="S7" s="335"/>
      <c r="T7" s="335"/>
      <c r="U7" s="335"/>
      <c r="V7" s="508" t="str">
        <f ca="1">SUBSTITUTE(Taal04!B16,"##","64")</f>
        <v>(max. 64 characters)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Germany</v>
      </c>
      <c r="AM8" s="1113" t="str">
        <f ca="1">AJ13</f>
        <v>Scotland</v>
      </c>
      <c r="AN8" s="1113" t="str">
        <f ca="1">AJ14</f>
        <v>Hungary</v>
      </c>
      <c r="AO8" s="1113" t="str">
        <f ca="1">AJ15</f>
        <v>Switzerland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Notes on completing the Form</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Group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It is not possible to predict results in which one team will score more than 9 goals. If a team scores more than 9 goals during one match, 9 goals will be noted for the result.</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|21|11|20|20|11|02|13|11|23|02|20|20|30|31|22|22|30|11|21|21|22|00|12|21|13|02|02|11|21|11|20|22|20|23|12|20|</v>
      </c>
      <c r="Z11" s="1133"/>
      <c r="AA11" s="1133"/>
      <c r="AB11" s="1133"/>
      <c r="AC11" s="1133"/>
      <c r="AD11" s="1134"/>
      <c r="AE11" s="41"/>
      <c r="AF11" s="831" t="s">
        <v>261</v>
      </c>
      <c r="AG11" s="106" t="str">
        <f>IF(TYPE(VLOOKUP(AF11,$D$25:$D$60,1,FALSE)*1)=1,VLOOKUP(AF11,$D$25:$AA$60,24,FALSE),IF(TYPE(VLOOKUP(AF11,$N$25:$N$60,1,FALSE)*1)=1,VLOOKUP(AF11,$N$25:$AD$60,17,FALSE),"ERROR"))</f>
        <v>21|</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11|</v>
      </c>
      <c r="AH12" s="171" t="str">
        <f ca="1">RIGHT(AJ10,1)&amp;1</f>
        <v>A1</v>
      </c>
      <c r="AI12" s="168">
        <f ca="1">$AU$83</f>
        <v>1</v>
      </c>
      <c r="AJ12" s="160" t="str">
        <f ca="1">VLOOKUP(AH12,Voorblad!$X$67:$Z$98,2,FALSE)</f>
        <v>Germany</v>
      </c>
      <c r="AK12" s="159" t="str">
        <f ca="1">VLOOKUP(AH12,Voorblad!$X$67:$Z$98,3,FALSE)</f>
        <v>DE</v>
      </c>
      <c r="AL12" s="203">
        <v>0</v>
      </c>
      <c r="AM12" s="206">
        <f>IF(ISNUMBER(J25),J25,0)</f>
        <v>2</v>
      </c>
      <c r="AN12" s="206">
        <f>IF(ISNUMBER(J27),J27,0)</f>
        <v>3</v>
      </c>
      <c r="AO12" s="206">
        <f>IF(ISNUMBER(L29),L29,0)</f>
        <v>3</v>
      </c>
      <c r="AP12" s="155">
        <f>IF(AA25&lt;&gt;"FOUT",IF(AM12&gt;AL13,3,IF(AM12=AL13,1,0)),0)+IF(AA27&lt;&gt;"FOUT",IF(AN12&gt;AL14,3,IF(AN12=AL14,1,0)),0)+IF(AA29&lt;&gt;"FOUT",IF(AO12&gt;AL15,3,IF(AO12=AL15,1,0)),0)</f>
        <v>9</v>
      </c>
      <c r="AQ12" s="158">
        <f>SUM(AL12:AO12)</f>
        <v>8</v>
      </c>
      <c r="AR12" s="157">
        <f>SUM(AL12:AL15)</f>
        <v>3</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95050803500001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20|</v>
      </c>
      <c r="AH13" s="171" t="str">
        <f ca="1">RIGHT(AJ10,1)&amp;2</f>
        <v>A2</v>
      </c>
      <c r="AI13" s="168">
        <f ca="1">$AV$83</f>
        <v>3</v>
      </c>
      <c r="AJ13" s="154" t="str">
        <f ca="1">VLOOKUP(AH13,Voorblad!$X$67:$Z$98,2,FALSE)</f>
        <v>Scotland</v>
      </c>
      <c r="AK13" s="110" t="str">
        <f ca="1">VLOOKUP(AH13,Voorblad!$X$67:$Z$98,3,FALSE)</f>
        <v>SC</v>
      </c>
      <c r="AL13" s="207">
        <f>IF(ISNUMBER(L25),L25,0)</f>
        <v>1</v>
      </c>
      <c r="AM13" s="202">
        <v>0</v>
      </c>
      <c r="AN13" s="163">
        <f>IF(ISNUMBER(J30),J30,0)</f>
        <v>0</v>
      </c>
      <c r="AO13" s="163">
        <f>IF(ISNUMBER(J28),J28,0)</f>
        <v>2</v>
      </c>
      <c r="AP13" s="151">
        <f>IF(AA25&lt;&gt;"FOUT",IF(AL13&gt;AM12,3,IF(AL13=AM12,1,0)),0)+IF(AA30&lt;&gt;"FOUT",IF(AN13&gt;AM14,3,IF(AN13=AM14,1,0)),0)+IF(AA28&lt;&gt;"FOUT",IF(AO13&gt;AM15,3,IF(AO13=AM15,1,0)),0)</f>
        <v>1</v>
      </c>
      <c r="AQ13" s="153">
        <f>SUM(AL13:AO13)</f>
        <v>3</v>
      </c>
      <c r="AR13" s="152">
        <f>SUM(AM12:AM15)</f>
        <v>6</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14970303500003</v>
      </c>
      <c r="BA13" s="221">
        <f ca="1">RANK(AZ13,AZ12:AZ15)</f>
        <v>4</v>
      </c>
      <c r="BB13" s="403"/>
    </row>
    <row r="14" spans="1:59" ht="15" customHeight="1" x14ac:dyDescent="0.25">
      <c r="B14" s="17"/>
      <c r="C14" s="383"/>
      <c r="D14" s="1122" t="str">
        <f ca="1">Taal04!B44</f>
        <v>The background color of the fields to be filled in indicates the status of the field. This status corresponds to the table on the right.</v>
      </c>
      <c r="E14" s="1122"/>
      <c r="F14" s="1122"/>
      <c r="G14" s="1122"/>
      <c r="H14" s="1122"/>
      <c r="I14" s="1122"/>
      <c r="J14" s="1122"/>
      <c r="K14" s="1122"/>
      <c r="L14" s="1122"/>
      <c r="M14" s="1122"/>
      <c r="N14" s="1122"/>
      <c r="O14" s="1122"/>
      <c r="P14" s="59"/>
      <c r="Q14" s="19"/>
      <c r="R14" s="18" t="s">
        <v>16</v>
      </c>
      <c r="S14" s="943" t="str">
        <f ca="1">Taal04!B45</f>
        <v>Entered correctly</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Hungary</v>
      </c>
      <c r="AK14" s="110" t="str">
        <f ca="1">VLOOKUP(AH14,Voorblad!$X$67:$Z$98,3,FALSE)</f>
        <v>HU</v>
      </c>
      <c r="AL14" s="207">
        <f>IF(ISNUMBER(L27),L27,0)</f>
        <v>1</v>
      </c>
      <c r="AM14" s="163">
        <f>IF(ISNUMBER(L30),L30,0)</f>
        <v>2</v>
      </c>
      <c r="AN14" s="202">
        <v>0</v>
      </c>
      <c r="AO14" s="163">
        <f>IF(ISNUMBER(J26),J26,0)</f>
        <v>1</v>
      </c>
      <c r="AP14" s="151">
        <f>IF(AA27&lt;&gt;"FOUT",IF(AL14&gt;AN12,3,IF(AL14=AN12,1,0)),0)+IF(AA30&lt;&gt;"FOUT",IF(AM14&gt;AN13,3,IF(AM14=AN13,1,0)),0)+IF(AA26&lt;&gt;"FOUT",IF(AO14&gt;AN15,3,IF(AO14=AN15,1,0)),0)</f>
        <v>4</v>
      </c>
      <c r="AQ14" s="153">
        <f>SUM(AL14:AO14)</f>
        <v>4</v>
      </c>
      <c r="AR14" s="152">
        <f>SUM(AN12:AN15)</f>
        <v>4</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45000403500002</v>
      </c>
      <c r="BA14" s="221">
        <f ca="1">RANK(AZ14,AZ12:AZ15)</f>
        <v>2</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No value entered</v>
      </c>
      <c r="T15" s="1123"/>
      <c r="U15" s="1123"/>
      <c r="V15" s="1123"/>
      <c r="W15" s="367"/>
      <c r="X15" s="17"/>
      <c r="Y15" s="252"/>
      <c r="Z15" s="252"/>
      <c r="AA15" s="252"/>
      <c r="AB15" s="256"/>
      <c r="AC15" s="256"/>
      <c r="AD15" s="256"/>
      <c r="AE15" s="41"/>
      <c r="AF15" s="831" t="s">
        <v>266</v>
      </c>
      <c r="AG15" s="106" t="str">
        <f t="shared" ca="1" si="0"/>
        <v>11|</v>
      </c>
      <c r="AH15" s="171" t="str">
        <f ca="1">RIGHT(AJ10,1)&amp;4</f>
        <v>A4</v>
      </c>
      <c r="AI15" s="168">
        <f ca="1">$AX$83</f>
        <v>4</v>
      </c>
      <c r="AJ15" s="150" t="str">
        <f ca="1">VLOOKUP(AH15,Voorblad!$X$67:$Z$98,2,FALSE)</f>
        <v>Switzerland</v>
      </c>
      <c r="AK15" s="149" t="str">
        <f ca="1">VLOOKUP(AH15,Voorblad!$X$67:$Z$98,3,FALSE)</f>
        <v>CH</v>
      </c>
      <c r="AL15" s="208">
        <f>IF(ISNUMBER(J29),J29,0)</f>
        <v>1</v>
      </c>
      <c r="AM15" s="209">
        <f>IF(ISNUMBER(L28),L28,0)</f>
        <v>2</v>
      </c>
      <c r="AN15" s="209">
        <f>IF(ISNUMBER(L26),L26,0)</f>
        <v>1</v>
      </c>
      <c r="AO15" s="210">
        <v>0</v>
      </c>
      <c r="AP15" s="145">
        <f>IF(AA29&lt;&gt;"FOUT",IF(AL15&gt;AO12,3,IF(AL15=AO12,1,0)),0)+IF(AA28&lt;&gt;"FOUT",IF(AM15&gt;AO13,3,IF(AM15=AO13,1,0)),0)+IF(AA26&lt;&gt;"FOUT",IF(AN15&gt;AO14,3,IF(AN15=AO14,1,0)),0)</f>
        <v>2</v>
      </c>
      <c r="AQ15" s="148">
        <f>SUM(AL15:AO15)</f>
        <v>4</v>
      </c>
      <c r="AR15" s="147">
        <f>SUM(AO12:AO15)</f>
        <v>6</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24980403500004</v>
      </c>
      <c r="BA15" s="222">
        <f ca="1">RANK(AZ15,AZ12:AZ15)</f>
        <v>3</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Incorrectly entered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13|</v>
      </c>
      <c r="AH17" s="1113"/>
      <c r="AI17" s="1113"/>
      <c r="AJ17" s="70"/>
      <c r="AK17" s="1113" t="s">
        <v>175</v>
      </c>
      <c r="AL17" s="1113" t="str">
        <f ca="1">AJ21</f>
        <v>Spain</v>
      </c>
      <c r="AM17" s="1113" t="str">
        <f ca="1">AJ22</f>
        <v>Croatia</v>
      </c>
      <c r="AN17" s="1113" t="str">
        <f ca="1">AJ23</f>
        <v>Italy</v>
      </c>
      <c r="AO17" s="1113" t="str">
        <f ca="1">AJ24</f>
        <v>Albania</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The Group Stage - Groups A to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8</v>
      </c>
      <c r="AA19" s="285">
        <f>IF(LEN(AA35)=3,IF(J35=L35,0,1),0)+IF(LEN(AA36)=3,IF(J36=L36,0,1),0)+IF(LEN(AA38)=3,IF(J38=L38,0,1),0)+IF(LEN(AA37)=3,IF(J37=L37,0,1),0)+IF(LEN(AA39)=3,IF(J39=L39,0,1),0)+IF(LEN(AA40)=3,IF(J40=L40,0,1),0)+IF(LEN(AD35)=3,IF(T35=V35,0,1),0)+IF(LEN(AD36)=3,IF(T36=V36,0,1),0)+IF(LEN(AD37)=3,IF(T37=V37,0,1),0)+IF(LEN(AD38)=3,IF(T38=V38,0,1),0)+IF(LEN(AD39)=3,IF(T39=V39,0,1),0)+IF(LEN(AD40)=3,IF(T40=V40,0,1),0)</f>
        <v>7</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25</v>
      </c>
      <c r="AE19" s="284" t="s">
        <v>1905</v>
      </c>
      <c r="AF19" s="831" t="s">
        <v>2398</v>
      </c>
      <c r="AG19" s="106" t="str">
        <f t="shared" ca="1" si="0"/>
        <v>23|</v>
      </c>
      <c r="AH19" s="1113"/>
      <c r="AI19" s="1113"/>
      <c r="AJ19" s="161" t="str">
        <f ca="1">N23</f>
        <v>Group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4</v>
      </c>
      <c r="AA20" s="285">
        <f>IF(LEN(AA35)=3,IF(J35=L35,1,0),0)+IF(LEN(AA36)=3,IF(J36=L36,1,0),0)+IF(LEN(AA38)=3,IF(J38=L38,1,0),0)+IF(LEN(AA37)=3,IF(J37=L37,1,0),0)+IF(LEN(AA39)=3,IF(J39=L39,1,0),0)+IF(LEN(AA40)=3,IF(J40=L40,1,0),0)+IF(LEN(AD35)=3,IF(T35=V35,1,0),0)+IF(LEN(AD36)=3,IF(T36=V36,1,0),0)+IF(LEN(AD37)=3,IF(T37=V37,1,0),0)+IF(LEN(AD38)=3,IF(T38=V38,1,0),0)+IF(LEN(AD39)=3,IF(T39=V39,1,0),0)+IF(LEN(AD40)=3,IF(T40=V40,1,0),0)</f>
        <v>5</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11</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Predict the results of the group matches and fill this in on this sheet.</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Spain</v>
      </c>
      <c r="AK21" s="159" t="str">
        <f ca="1">VLOOKUP(AH21,Voorblad!$X$67:$Z$98,3,FALSE)</f>
        <v>ES</v>
      </c>
      <c r="AL21" s="203">
        <v>0</v>
      </c>
      <c r="AM21" s="206">
        <f>IF(ISNUMBER(T25),T25,0)</f>
        <v>2</v>
      </c>
      <c r="AN21" s="206">
        <f>IF(ISNUMBER(T28),T28,0)</f>
        <v>1</v>
      </c>
      <c r="AO21" s="206">
        <f>IF(ISNUMBER(V29),V29,0)</f>
        <v>2</v>
      </c>
      <c r="AP21" s="155">
        <f>IF(AD25&lt;&gt;"FOUT",IF(AM21&gt;AL22,3,IF(AM21=AL22,1,0)),0)+IF(AD28&lt;&gt;"FOUT",IF(AN21&gt;AL23,3,IF(AN21=AL23,1,0)),0)+IF(AD29&lt;&gt;"FOUT",IF(AO21&gt;AL24,3,IF(AO21=AL24,1,0)),0)</f>
        <v>7</v>
      </c>
      <c r="AQ21" s="158">
        <f>SUM(AL21:AO21)</f>
        <v>5</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75040503500004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 times are Central European Time (UCT + 1)</v>
      </c>
      <c r="W22" s="60"/>
      <c r="X22" s="17"/>
      <c r="Y22" s="4"/>
      <c r="Z22" s="4"/>
      <c r="AA22" s="138"/>
      <c r="AB22" s="4"/>
      <c r="AC22" s="4"/>
      <c r="AD22" s="138"/>
      <c r="AE22" s="284">
        <f>LARGE(AE25:AE60,1)</f>
        <v>5</v>
      </c>
      <c r="AF22" s="251">
        <v>12</v>
      </c>
      <c r="AG22" s="106" t="str">
        <f t="shared" ca="1" si="0"/>
        <v>20|</v>
      </c>
      <c r="AH22" s="171" t="str">
        <f ca="1">RIGHT(AJ19,1)&amp;2</f>
        <v>B2</v>
      </c>
      <c r="AI22" s="168">
        <f ca="1">$AV$84</f>
        <v>2</v>
      </c>
      <c r="AJ22" s="154" t="str">
        <f ca="1">VLOOKUP(AH22,Voorblad!$X$67:$Z$98,2,FALSE)</f>
        <v>Croatia</v>
      </c>
      <c r="AK22" s="110" t="str">
        <f ca="1">VLOOKUP(AH22,Voorblad!$X$67:$Z$98,3,FALSE)</f>
        <v>HR</v>
      </c>
      <c r="AL22" s="207">
        <f>IF(ISNUMBER(V25),V25,0)</f>
        <v>0</v>
      </c>
      <c r="AM22" s="202">
        <v>0</v>
      </c>
      <c r="AN22" s="163">
        <f>IF(ISNUMBER(T30),T30,0)</f>
        <v>1</v>
      </c>
      <c r="AO22" s="163">
        <f>IF(ISNUMBER(T27),T27,0)</f>
        <v>3</v>
      </c>
      <c r="AP22" s="151">
        <f>IF(AD25&lt;&gt;"FOUT",IF(AL22&gt;AM21,3,IF(AL22=AM21,1,0)),0)+IF(AD30&lt;&gt;"FOUT",IF(AN22&gt;AM23,3,IF(AN22=AM23,1,0)),0)+IF(AD27&lt;&gt;"FOUT",IF(AO22&gt;AM24,3,IF(AO22=AM24,1,0)),0)</f>
        <v>4</v>
      </c>
      <c r="AQ22" s="153">
        <f>SUM(AL22:AO22)</f>
        <v>4</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45010403500002</v>
      </c>
      <c r="BA22" s="215">
        <f ca="1">RANK(AZ22,AZ21:AZ24)</f>
        <v>3</v>
      </c>
    </row>
    <row r="23" spans="1:53" s="166" customFormat="1" ht="20.100000000000001" customHeight="1" x14ac:dyDescent="0.4">
      <c r="B23" s="17"/>
      <c r="C23" s="949"/>
      <c r="D23" s="828" t="str">
        <f ca="1">Taal04!$B$26&amp;" A"</f>
        <v>Group A</v>
      </c>
      <c r="E23" s="17"/>
      <c r="F23" s="17"/>
      <c r="G23" s="17"/>
      <c r="H23" s="17"/>
      <c r="I23" s="17"/>
      <c r="J23" s="17"/>
      <c r="K23" s="17"/>
      <c r="L23" s="17"/>
      <c r="M23" s="17"/>
      <c r="N23" s="828" t="str">
        <f ca="1">Taal04!$B$26&amp;" B"</f>
        <v>Group B</v>
      </c>
      <c r="O23" s="17"/>
      <c r="P23" s="17"/>
      <c r="Q23" s="17"/>
      <c r="R23" s="17"/>
      <c r="S23" s="17"/>
      <c r="T23" s="17"/>
      <c r="U23" s="17"/>
      <c r="V23" s="17"/>
      <c r="W23" s="60"/>
      <c r="X23" s="17"/>
      <c r="Y23" s="1120" t="str">
        <f ca="1">"Controle "&amp;D23</f>
        <v>Controle Group A</v>
      </c>
      <c r="Z23" s="1120"/>
      <c r="AA23" s="1120"/>
      <c r="AB23" s="1120" t="str">
        <f ca="1">"Controle "&amp;N23</f>
        <v>Controle Group B</v>
      </c>
      <c r="AC23" s="1120"/>
      <c r="AD23" s="1120"/>
      <c r="AE23" s="849"/>
      <c r="AF23" s="251">
        <v>15</v>
      </c>
      <c r="AG23" s="106" t="str">
        <f ca="1">IF(TYPE(VLOOKUP(AF23,$D$25:$D$60,1,FALSE)*1)=1,VLOOKUP(AF23,$D$25:$AA$60,24,FALSE),IF(TYPE(VLOOKUP(AF23,$N$25:$N$60,1,FALSE)*1)=1,VLOOKUP(AF23,$N$25:$AD$60,17,FALSE),"ERROR"))</f>
        <v>30|</v>
      </c>
      <c r="AH23" s="171" t="str">
        <f ca="1">RIGHT(AJ19,1)&amp;3</f>
        <v>B3</v>
      </c>
      <c r="AI23" s="168">
        <f ca="1">$AW$84</f>
        <v>3</v>
      </c>
      <c r="AJ23" s="154" t="str">
        <f ca="1">VLOOKUP(AH23,Voorblad!$X$67:$Z$98,2,FALSE)</f>
        <v>Italy</v>
      </c>
      <c r="AK23" s="110" t="str">
        <f ca="1">VLOOKUP(AH23,Voorblad!$X$67:$Z$98,3,FALSE)</f>
        <v>IT</v>
      </c>
      <c r="AL23" s="207">
        <f>IF(ISNUMBER(V28),V28,0)</f>
        <v>1</v>
      </c>
      <c r="AM23" s="163">
        <f>IF(ISNUMBER(V30),V30,0)</f>
        <v>1</v>
      </c>
      <c r="AN23" s="202">
        <v>0</v>
      </c>
      <c r="AO23" s="163">
        <f>IF(ISNUMBER(T26),T26,0)</f>
        <v>2</v>
      </c>
      <c r="AP23" s="151">
        <f>IF(AD28&lt;&gt;"FOUT",IF(AL23&gt;AN21,3,IF(AL23=AN21,1,0)),0)+IF(AD30&lt;&gt;"FOUT",IF(AM23&gt;AN22,3,IF(AM23=AN22,1,0)),0)+IF(AD26&lt;&gt;"FOUT",IF(AO23&gt;AN24,3,IF(AO23=AN24,1,0)),0)</f>
        <v>5</v>
      </c>
      <c r="AQ23" s="153">
        <f>SUM(AL23:AO23)</f>
        <v>4</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55020403500003</v>
      </c>
      <c r="BA23" s="215">
        <f ca="1">RANK(AZ23,AZ21:AZ24)</f>
        <v>2</v>
      </c>
    </row>
    <row r="24" spans="1:53" s="166" customFormat="1" ht="15" customHeight="1" x14ac:dyDescent="0.25">
      <c r="B24" s="17"/>
      <c r="C24" s="949"/>
      <c r="D24" s="107"/>
      <c r="E24" s="939" t="str">
        <f ca="1">Taal04!$B$20</f>
        <v>Date</v>
      </c>
      <c r="F24" s="939" t="str">
        <f ca="1">Taal04!$B$21</f>
        <v>Time</v>
      </c>
      <c r="G24" s="1116" t="str">
        <f ca="1">Taal04!$B$22</f>
        <v>Match</v>
      </c>
      <c r="H24" s="1116"/>
      <c r="I24" s="1116"/>
      <c r="J24" s="1116" t="str">
        <f ca="1">Taal04!$B$24</f>
        <v>Score</v>
      </c>
      <c r="K24" s="1117"/>
      <c r="L24" s="1117"/>
      <c r="M24" s="17"/>
      <c r="N24" s="107"/>
      <c r="O24" s="939" t="str">
        <f ca="1">Taal04!$B$20</f>
        <v>Date</v>
      </c>
      <c r="P24" s="939" t="str">
        <f ca="1">Taal04!$B$21</f>
        <v>Time</v>
      </c>
      <c r="Q24" s="1116" t="str">
        <f ca="1">Taal04!$B$22</f>
        <v>Match</v>
      </c>
      <c r="R24" s="1116"/>
      <c r="S24" s="1116"/>
      <c r="T24" s="1116" t="str">
        <f ca="1">Taal04!$B$24</f>
        <v>Score</v>
      </c>
      <c r="U24" s="1117"/>
      <c r="V24" s="1117"/>
      <c r="W24" s="60"/>
      <c r="X24" s="17"/>
      <c r="Y24" s="4" t="s">
        <v>24</v>
      </c>
      <c r="Z24" s="4" t="s">
        <v>25</v>
      </c>
      <c r="AA24" s="138" t="s">
        <v>0</v>
      </c>
      <c r="AB24" s="4" t="s">
        <v>24</v>
      </c>
      <c r="AC24" s="4" t="s">
        <v>25</v>
      </c>
      <c r="AD24" s="138" t="s">
        <v>0</v>
      </c>
      <c r="AE24" s="849"/>
      <c r="AF24" s="251">
        <v>14</v>
      </c>
      <c r="AG24" s="106" t="str">
        <f t="shared" si="0"/>
        <v>31|</v>
      </c>
      <c r="AH24" s="171" t="str">
        <f ca="1">RIGHT(AJ19,1)&amp;4</f>
        <v>B4</v>
      </c>
      <c r="AI24" s="168">
        <f ca="1">$AX$84</f>
        <v>1</v>
      </c>
      <c r="AJ24" s="150" t="str">
        <f ca="1">VLOOKUP(AH24,Voorblad!$X$67:$Z$98,2,FALSE)</f>
        <v>Albania</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Germany</v>
      </c>
      <c r="H25" s="7" t="s">
        <v>12</v>
      </c>
      <c r="I25" s="327" t="str">
        <f ca="1">AJ13</f>
        <v>Scotland</v>
      </c>
      <c r="J25" s="353">
        <v>2</v>
      </c>
      <c r="K25" s="54" t="s">
        <v>12</v>
      </c>
      <c r="L25" s="353">
        <v>1</v>
      </c>
      <c r="M25" s="9"/>
      <c r="N25" s="6" t="str">
        <f>"03"</f>
        <v>03</v>
      </c>
      <c r="O25" s="11">
        <f>DATE(2024,6,15)+TIME(18,0,0)</f>
        <v>45458.75</v>
      </c>
      <c r="P25" s="134">
        <f t="shared" ref="P25:P30" si="2">O25+TIME(0,0,0)</f>
        <v>45458.75</v>
      </c>
      <c r="Q25" s="8" t="str">
        <f ca="1">AJ21</f>
        <v>Spain</v>
      </c>
      <c r="R25" s="7" t="s">
        <v>12</v>
      </c>
      <c r="S25" s="327" t="str">
        <f ca="1">AJ22</f>
        <v>Croatia</v>
      </c>
      <c r="T25" s="353">
        <v>2</v>
      </c>
      <c r="U25" s="54" t="s">
        <v>12</v>
      </c>
      <c r="V25" s="353">
        <v>0</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20|</v>
      </c>
      <c r="AE25" s="285">
        <f t="shared" ref="AE25:AE30" si="9">IF(AND(Y25="GOED",Z25="GOED",AB25="GOED",AB25="GOED"),IF(J25+L25&gt;T25+V25,J25+L25,T25+V25),IF(AND(Y25="GOED",Z25="GOED"),J25+L25,IF(AND(AB25="GOED",AB25="GOED"),T25+V25,0)))</f>
        <v>3</v>
      </c>
      <c r="AF25" s="251">
        <v>13</v>
      </c>
      <c r="AG25" s="106" t="str">
        <f t="shared" si="0"/>
        <v>22|</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Hungary</v>
      </c>
      <c r="H26" s="7" t="s">
        <v>12</v>
      </c>
      <c r="I26" s="327" t="str">
        <f ca="1">AJ15</f>
        <v>Switzerland</v>
      </c>
      <c r="J26" s="353">
        <v>1</v>
      </c>
      <c r="K26" s="54" t="s">
        <v>12</v>
      </c>
      <c r="L26" s="353">
        <v>1</v>
      </c>
      <c r="M26" s="9"/>
      <c r="N26" s="6" t="str">
        <f>"04"</f>
        <v>04</v>
      </c>
      <c r="O26" s="11">
        <f>DATE(2024,6,15)+TIME(21,0,0)</f>
        <v>45458.875</v>
      </c>
      <c r="P26" s="134">
        <f t="shared" si="2"/>
        <v>45458.875</v>
      </c>
      <c r="Q26" s="8" t="str">
        <f ca="1">AJ23</f>
        <v>Italy</v>
      </c>
      <c r="R26" s="7" t="s">
        <v>12</v>
      </c>
      <c r="S26" s="327" t="str">
        <f ca="1">AJ24</f>
        <v>Albania</v>
      </c>
      <c r="T26" s="353">
        <v>2</v>
      </c>
      <c r="U26" s="54" t="s">
        <v>12</v>
      </c>
      <c r="V26" s="353">
        <v>0</v>
      </c>
      <c r="W26" s="60"/>
      <c r="X26" s="17"/>
      <c r="Y26" s="4" t="str">
        <f t="shared" si="3"/>
        <v>GOED</v>
      </c>
      <c r="Z26" s="4" t="str">
        <f t="shared" si="4"/>
        <v>GOED</v>
      </c>
      <c r="AA26" s="138" t="str">
        <f t="shared" si="5"/>
        <v>11|</v>
      </c>
      <c r="AB26" s="4" t="str">
        <f t="shared" si="6"/>
        <v>GOED</v>
      </c>
      <c r="AC26" s="4" t="str">
        <f t="shared" si="7"/>
        <v>GOED</v>
      </c>
      <c r="AD26" s="138" t="str">
        <f t="shared" si="8"/>
        <v>20|</v>
      </c>
      <c r="AE26" s="285">
        <f t="shared" si="9"/>
        <v>2</v>
      </c>
      <c r="AF26" s="251">
        <v>18</v>
      </c>
      <c r="AG26" s="106" t="str">
        <f t="shared" ca="1" si="0"/>
        <v>22|</v>
      </c>
      <c r="AH26" s="1113"/>
      <c r="AI26" s="1113"/>
      <c r="AJ26" s="70"/>
      <c r="AK26" s="1113" t="s">
        <v>175</v>
      </c>
      <c r="AL26" s="1113" t="str">
        <f ca="1">AJ30</f>
        <v>Slovenia</v>
      </c>
      <c r="AM26" s="1113" t="str">
        <f ca="1">AJ31</f>
        <v>Denmark</v>
      </c>
      <c r="AN26" s="1113" t="str">
        <f ca="1">AJ32</f>
        <v>Serbia</v>
      </c>
      <c r="AO26" s="1113" t="str">
        <f ca="1">AJ33</f>
        <v>England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Germany</v>
      </c>
      <c r="H27" s="7" t="s">
        <v>12</v>
      </c>
      <c r="I27" s="327" t="str">
        <f ca="1">AJ14</f>
        <v>Hungary</v>
      </c>
      <c r="J27" s="353">
        <v>3</v>
      </c>
      <c r="K27" s="54" t="s">
        <v>12</v>
      </c>
      <c r="L27" s="353">
        <v>1</v>
      </c>
      <c r="M27" s="9"/>
      <c r="N27" s="6">
        <v>15</v>
      </c>
      <c r="O27" s="11">
        <f>DATE(2024,6,19)+TIME(15,0,0)</f>
        <v>45462.625</v>
      </c>
      <c r="P27" s="134">
        <f t="shared" si="2"/>
        <v>45462.625</v>
      </c>
      <c r="Q27" s="440" t="str">
        <f ca="1">AJ22</f>
        <v>Croatia</v>
      </c>
      <c r="R27" s="441" t="s">
        <v>12</v>
      </c>
      <c r="S27" s="442" t="str">
        <f ca="1">AJ24</f>
        <v>Albania</v>
      </c>
      <c r="T27" s="353">
        <v>3</v>
      </c>
      <c r="U27" s="54" t="s">
        <v>12</v>
      </c>
      <c r="V27" s="353">
        <v>0</v>
      </c>
      <c r="W27" s="60"/>
      <c r="X27" s="17"/>
      <c r="Y27" s="4" t="str">
        <f t="shared" si="3"/>
        <v>GOED</v>
      </c>
      <c r="Z27" s="4" t="str">
        <f t="shared" si="4"/>
        <v>GOED</v>
      </c>
      <c r="AA27" s="138" t="str">
        <f t="shared" si="5"/>
        <v>31|</v>
      </c>
      <c r="AB27" s="4" t="str">
        <f t="shared" si="6"/>
        <v>GOED</v>
      </c>
      <c r="AC27" s="4" t="str">
        <f t="shared" si="7"/>
        <v>GOED</v>
      </c>
      <c r="AD27" s="138" t="str">
        <f t="shared" si="8"/>
        <v>30|</v>
      </c>
      <c r="AE27" s="285">
        <f t="shared" si="9"/>
        <v>4</v>
      </c>
      <c r="AF27" s="251">
        <v>17</v>
      </c>
      <c r="AG27" s="106" t="str">
        <f t="shared" ca="1" si="0"/>
        <v>30|</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Scotland</v>
      </c>
      <c r="H28" s="7" t="s">
        <v>12</v>
      </c>
      <c r="I28" s="327" t="str">
        <f ca="1">AJ15</f>
        <v>Switzerland</v>
      </c>
      <c r="J28" s="353">
        <v>2</v>
      </c>
      <c r="K28" s="54" t="s">
        <v>12</v>
      </c>
      <c r="L28" s="353">
        <v>2</v>
      </c>
      <c r="M28" s="9"/>
      <c r="N28" s="6">
        <v>16</v>
      </c>
      <c r="O28" s="11">
        <f>DATE(2024,6,20)+TIME(21,0,0)</f>
        <v>45463.875</v>
      </c>
      <c r="P28" s="134">
        <f t="shared" si="2"/>
        <v>45463.875</v>
      </c>
      <c r="Q28" s="8" t="str">
        <f ca="1">AJ21</f>
        <v>Spain</v>
      </c>
      <c r="R28" s="7" t="s">
        <v>12</v>
      </c>
      <c r="S28" s="327" t="str">
        <f ca="1">AJ23</f>
        <v>Italy</v>
      </c>
      <c r="T28" s="353">
        <v>1</v>
      </c>
      <c r="U28" s="54" t="s">
        <v>12</v>
      </c>
      <c r="V28" s="353">
        <v>1</v>
      </c>
      <c r="W28" s="60"/>
      <c r="X28" s="17"/>
      <c r="Y28" s="4" t="str">
        <f t="shared" si="3"/>
        <v>GOED</v>
      </c>
      <c r="Z28" s="4" t="str">
        <f t="shared" si="4"/>
        <v>GOED</v>
      </c>
      <c r="AA28" s="138" t="str">
        <f t="shared" si="5"/>
        <v>22|</v>
      </c>
      <c r="AB28" s="4" t="str">
        <f t="shared" si="6"/>
        <v>GOED</v>
      </c>
      <c r="AC28" s="4" t="str">
        <f t="shared" si="7"/>
        <v>GOED</v>
      </c>
      <c r="AD28" s="138" t="str">
        <f t="shared" si="8"/>
        <v>11|</v>
      </c>
      <c r="AE28" s="285">
        <f t="shared" si="9"/>
        <v>4</v>
      </c>
      <c r="AF28" s="251">
        <v>16</v>
      </c>
      <c r="AG28" s="106" t="str">
        <f t="shared" ca="1" si="0"/>
        <v>11|</v>
      </c>
      <c r="AH28" s="1113"/>
      <c r="AI28" s="1113"/>
      <c r="AJ28" s="161" t="str">
        <f ca="1">D33</f>
        <v>Group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Switzerland</v>
      </c>
      <c r="H29" s="7" t="s">
        <v>12</v>
      </c>
      <c r="I29" s="327" t="str">
        <f ca="1">AJ12</f>
        <v>Germany</v>
      </c>
      <c r="J29" s="353">
        <v>1</v>
      </c>
      <c r="K29" s="54" t="s">
        <v>12</v>
      </c>
      <c r="L29" s="353">
        <v>3</v>
      </c>
      <c r="M29" s="9"/>
      <c r="N29" s="6">
        <v>27</v>
      </c>
      <c r="O29" s="11">
        <f>DATE(2024,6,24)+TIME(21,0,0)</f>
        <v>45467.875</v>
      </c>
      <c r="P29" s="134">
        <f t="shared" si="2"/>
        <v>45467.875</v>
      </c>
      <c r="Q29" s="8" t="str">
        <f ca="1">AJ24</f>
        <v>Albania</v>
      </c>
      <c r="R29" s="7" t="s">
        <v>12</v>
      </c>
      <c r="S29" s="327" t="str">
        <f ca="1">AJ21</f>
        <v>Spain</v>
      </c>
      <c r="T29" s="353">
        <v>0</v>
      </c>
      <c r="U29" s="54" t="s">
        <v>12</v>
      </c>
      <c r="V29" s="353">
        <v>2</v>
      </c>
      <c r="W29" s="60"/>
      <c r="X29" s="17"/>
      <c r="Y29" s="4" t="str">
        <f t="shared" si="3"/>
        <v>GOED</v>
      </c>
      <c r="Z29" s="4" t="str">
        <f t="shared" si="4"/>
        <v>GOED</v>
      </c>
      <c r="AA29" s="138" t="str">
        <f t="shared" si="5"/>
        <v>13|</v>
      </c>
      <c r="AB29" s="4" t="str">
        <f t="shared" si="6"/>
        <v>GOED</v>
      </c>
      <c r="AC29" s="4" t="str">
        <f t="shared" si="7"/>
        <v>GOED</v>
      </c>
      <c r="AD29" s="138" t="str">
        <f t="shared" si="8"/>
        <v>02|</v>
      </c>
      <c r="AE29" s="285">
        <f t="shared" si="9"/>
        <v>4</v>
      </c>
      <c r="AF29" s="106">
        <v>21</v>
      </c>
      <c r="AG29" s="106" t="str">
        <f t="shared" ca="1" si="0"/>
        <v>21|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Scotland</v>
      </c>
      <c r="H30" s="7" t="s">
        <v>12</v>
      </c>
      <c r="I30" s="327" t="str">
        <f ca="1">AJ14</f>
        <v>Hungary</v>
      </c>
      <c r="J30" s="353">
        <v>0</v>
      </c>
      <c r="K30" s="54" t="s">
        <v>12</v>
      </c>
      <c r="L30" s="353">
        <v>2</v>
      </c>
      <c r="M30" s="9"/>
      <c r="N30" s="6">
        <v>28</v>
      </c>
      <c r="O30" s="11">
        <f>O29</f>
        <v>45467.875</v>
      </c>
      <c r="P30" s="134">
        <f t="shared" si="2"/>
        <v>45467.875</v>
      </c>
      <c r="Q30" s="8" t="str">
        <f ca="1">AJ22</f>
        <v>Croatia</v>
      </c>
      <c r="R30" s="7" t="s">
        <v>12</v>
      </c>
      <c r="S30" s="327" t="str">
        <f ca="1">AJ23</f>
        <v>Italy</v>
      </c>
      <c r="T30" s="353">
        <v>1</v>
      </c>
      <c r="U30" s="54" t="s">
        <v>12</v>
      </c>
      <c r="V30" s="353">
        <v>1</v>
      </c>
      <c r="W30" s="60"/>
      <c r="X30" s="17"/>
      <c r="Y30" s="4" t="str">
        <f t="shared" si="3"/>
        <v>GOED</v>
      </c>
      <c r="Z30" s="4" t="str">
        <f t="shared" si="4"/>
        <v>GOED</v>
      </c>
      <c r="AA30" s="138" t="str">
        <f t="shared" si="5"/>
        <v>02|</v>
      </c>
      <c r="AB30" s="4" t="str">
        <f t="shared" si="6"/>
        <v>GOED</v>
      </c>
      <c r="AC30" s="4" t="str">
        <f t="shared" si="7"/>
        <v>GOED</v>
      </c>
      <c r="AD30" s="138" t="str">
        <f t="shared" si="8"/>
        <v>11|</v>
      </c>
      <c r="AE30" s="285">
        <f t="shared" si="9"/>
        <v>2</v>
      </c>
      <c r="AF30" s="106">
        <v>19</v>
      </c>
      <c r="AG30" s="106" t="str">
        <f t="shared" ca="1" si="0"/>
        <v>21|</v>
      </c>
      <c r="AH30" s="171" t="str">
        <f ca="1">RIGHT(AJ28,1)&amp;1</f>
        <v>C1</v>
      </c>
      <c r="AI30" s="168">
        <f ca="1">$AU$85</f>
        <v>4</v>
      </c>
      <c r="AJ30" s="160" t="str">
        <f ca="1">VLOOKUP(AH30,Voorblad!$X$67:$Z$98,2,FALSE)</f>
        <v>Slovenia</v>
      </c>
      <c r="AK30" s="159" t="str">
        <f ca="1">VLOOKUP(AH30,Voorblad!$X$67:$Z$98,3,FALSE)</f>
        <v>SI</v>
      </c>
      <c r="AL30" s="203">
        <v>0</v>
      </c>
      <c r="AM30" s="206">
        <f>IF(ISNUMBER(J35),J35,0)</f>
        <v>0</v>
      </c>
      <c r="AN30" s="206">
        <f>IF(ISNUMBER(J37),J37,0)</f>
        <v>2</v>
      </c>
      <c r="AO30" s="206">
        <f>IF(ISNUMBER(L39),L39,0)</f>
        <v>0</v>
      </c>
      <c r="AP30" s="155">
        <f>IF(AA35&lt;&gt;"FOUT",IF(AM30&gt;AL31,3,IF(AM30=AL31,1,0)),0)+IF(AA37&lt;&gt;"FOUT",IF(AN30&gt;AL32,3,IF(AN30=AL32,1,0)),0)+IF(AA39&lt;&gt;"FOUT",IF(AO30&gt;AL33,3,IF(AO30=AL33,1,0)),0)</f>
        <v>1</v>
      </c>
      <c r="AQ30" s="158">
        <f>SUM(AL30:AO30)</f>
        <v>2</v>
      </c>
      <c r="AR30" s="157">
        <f>SUM(AL30:AL33)</f>
        <v>6</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14960203500004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22|</v>
      </c>
      <c r="AH31" s="171" t="str">
        <f ca="1">RIGHT(AJ28,1)&amp;2</f>
        <v>C2</v>
      </c>
      <c r="AI31" s="168">
        <f ca="1">$AV$85</f>
        <v>1</v>
      </c>
      <c r="AJ31" s="154" t="str">
        <f ca="1">VLOOKUP(AH31,Voorblad!$X$67:$Z$98,2,FALSE)</f>
        <v>Denmark</v>
      </c>
      <c r="AK31" s="110" t="str">
        <f ca="1">VLOOKUP(AH31,Voorblad!$X$67:$Z$98,3,FALSE)</f>
        <v>DK</v>
      </c>
      <c r="AL31" s="207">
        <f>IF(ISNUMBER(L35),L35,0)</f>
        <v>2</v>
      </c>
      <c r="AM31" s="202">
        <v>0</v>
      </c>
      <c r="AN31" s="163">
        <f>IF(ISNUMBER(J40),J40,0)</f>
        <v>2</v>
      </c>
      <c r="AO31" s="163">
        <f>IF(ISNUMBER(L38),L38,0)</f>
        <v>0</v>
      </c>
      <c r="AP31" s="151">
        <f>IF(AA35&lt;&gt;"FOUT",IF(AL31&gt;AM30,3,IF(AL31=AM30,1,0)),0)+IF(AA40&lt;&gt;"FOUT",IF(AN31&gt;AM32,3,IF(AN31=AM32,1,0)),0)+IF(AA38&lt;&gt;"FOUT",IF(AO31&gt;AM33,3,IF(AO31=AM33,1,0)),0)</f>
        <v>4</v>
      </c>
      <c r="AQ31" s="153">
        <f>SUM(AL31:AO31)</f>
        <v>4</v>
      </c>
      <c r="AR31" s="152">
        <f>SUM(AM30:AM33)</f>
        <v>5</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44990403500001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00|</v>
      </c>
      <c r="AH32" s="171" t="str">
        <f ca="1">RIGHT(AJ28,1)&amp;3</f>
        <v>C3</v>
      </c>
      <c r="AI32" s="168">
        <f ca="1">$AW$85</f>
        <v>3</v>
      </c>
      <c r="AJ32" s="154" t="str">
        <f ca="1">VLOOKUP(AH32,Voorblad!$X$67:$Z$98,2,FALSE)</f>
        <v>Serbia</v>
      </c>
      <c r="AK32" s="110" t="str">
        <f ca="1">VLOOKUP(AH32,Voorblad!$X$67:$Z$98,3,FALSE)</f>
        <v>RS</v>
      </c>
      <c r="AL32" s="207">
        <f>IF(ISNUMBER(L37),L37,0)</f>
        <v>2</v>
      </c>
      <c r="AM32" s="163">
        <f>IF(ISNUMBER(L40),L40,0)</f>
        <v>2</v>
      </c>
      <c r="AN32" s="202">
        <v>0</v>
      </c>
      <c r="AO32" s="163">
        <f>IF(ISNUMBER(J36),J36,0)</f>
        <v>1</v>
      </c>
      <c r="AP32" s="151">
        <f>IF(AA37&lt;&gt;"FOUT",IF(AL32&gt;AN30,3,IF(AL32=AN30,1,0)),0)+IF(AA40&lt;&gt;"FOUT",IF(AM32&gt;AN31,3,IF(AM32=AN31,1,0)),0)+IF(AA36&lt;&gt;"FOUT",IF(AO32&gt;AN33,3,IF(AO32=AN33,1,0)),0)</f>
        <v>2</v>
      </c>
      <c r="AQ32" s="153">
        <f>SUM(AL32:AO32)</f>
        <v>5</v>
      </c>
      <c r="AR32" s="152">
        <f>SUM(AN30:AN33)</f>
        <v>7</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24980503500003</v>
      </c>
      <c r="BA32" s="215">
        <f ca="1">RANK(AZ32,AZ30:AZ33)</f>
        <v>3</v>
      </c>
    </row>
    <row r="33" spans="2:53" ht="20.100000000000001" customHeight="1" x14ac:dyDescent="0.4">
      <c r="B33" s="17"/>
      <c r="C33" s="949"/>
      <c r="D33" s="828" t="str">
        <f ca="1">Taal04!$B$26&amp;" C"</f>
        <v>Group C</v>
      </c>
      <c r="E33" s="17"/>
      <c r="F33" s="17"/>
      <c r="G33" s="17"/>
      <c r="H33" s="17"/>
      <c r="I33" s="17"/>
      <c r="J33" s="17"/>
      <c r="K33" s="17"/>
      <c r="L33" s="17"/>
      <c r="M33" s="17"/>
      <c r="N33" s="828" t="str">
        <f ca="1">Taal04!$B$26&amp;" D"</f>
        <v>Group D</v>
      </c>
      <c r="O33" s="17"/>
      <c r="P33" s="17"/>
      <c r="Q33" s="17"/>
      <c r="R33" s="17"/>
      <c r="S33" s="17"/>
      <c r="T33" s="17"/>
      <c r="U33" s="17"/>
      <c r="V33" s="17"/>
      <c r="W33" s="60"/>
      <c r="X33" s="17"/>
      <c r="Y33" s="1120" t="str">
        <f ca="1">"Controle "&amp;D33</f>
        <v>Controle Group C</v>
      </c>
      <c r="Z33" s="1120"/>
      <c r="AA33" s="1120"/>
      <c r="AB33" s="1120" t="str">
        <f ca="1">"Controle "&amp;N33</f>
        <v>Controle Group D</v>
      </c>
      <c r="AC33" s="1120"/>
      <c r="AD33" s="1120"/>
      <c r="AE33" s="849"/>
      <c r="AF33" s="251">
        <v>23</v>
      </c>
      <c r="AG33" s="106" t="str">
        <f t="shared" ca="1" si="0"/>
        <v>12|</v>
      </c>
      <c r="AH33" s="171" t="str">
        <f ca="1">RIGHT(AJ28,1)&amp;4</f>
        <v>C4</v>
      </c>
      <c r="AI33" s="168">
        <f ca="1">$AX$85</f>
        <v>2</v>
      </c>
      <c r="AJ33" s="150" t="str">
        <f ca="1">VLOOKUP(AH33,Voorblad!$X$67:$Z$98,2,FALSE)</f>
        <v>England</v>
      </c>
      <c r="AK33" s="149" t="str">
        <f ca="1">VLOOKUP(AH33,Voorblad!$X$67:$Z$98,3,FALSE)</f>
        <v>GB</v>
      </c>
      <c r="AL33" s="208">
        <f>IF(ISNUMBER(J39),J39,0)</f>
        <v>2</v>
      </c>
      <c r="AM33" s="209">
        <f>IF(ISNUMBER(J38),J38,0)</f>
        <v>3</v>
      </c>
      <c r="AN33" s="209">
        <f>IF(ISNUMBER(L36),L36,0)</f>
        <v>3</v>
      </c>
      <c r="AO33" s="210">
        <v>0</v>
      </c>
      <c r="AP33" s="428">
        <f>IF(AA39&lt;&gt;"FOUT",IF(AL33&gt;AO30,3,IF(AL33=AO30,1,0)),0)+IF(AA38&lt;&gt;"FOUT",IF(AM33&gt;AO31,3,IF(AM33=AO31,1,0)),0)+IF(AA36&lt;&gt;"FOUT",IF(AN33&gt;AO32,3,IF(AN33=AO32,1,0)),0)</f>
        <v>9</v>
      </c>
      <c r="AQ33" s="148">
        <f>SUM(AL33:AO33)</f>
        <v>8</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95070803500002</v>
      </c>
      <c r="BA33" s="216">
        <f ca="1">RANK(AZ33,AZ30:AZ33)</f>
        <v>1</v>
      </c>
    </row>
    <row r="34" spans="2:53" ht="15" customHeight="1" x14ac:dyDescent="0.25">
      <c r="B34" s="17"/>
      <c r="C34" s="949"/>
      <c r="D34" s="107"/>
      <c r="E34" s="939" t="str">
        <f ca="1">Taal04!$B$20</f>
        <v>Date</v>
      </c>
      <c r="F34" s="939" t="str">
        <f ca="1">Taal04!$B$21</f>
        <v>Time</v>
      </c>
      <c r="G34" s="1116" t="str">
        <f ca="1">Taal04!$B$22</f>
        <v>Match</v>
      </c>
      <c r="H34" s="1116"/>
      <c r="I34" s="1116"/>
      <c r="J34" s="1116" t="str">
        <f ca="1">Taal04!$B$24</f>
        <v>Score</v>
      </c>
      <c r="K34" s="1117"/>
      <c r="L34" s="1117"/>
      <c r="M34" s="17"/>
      <c r="N34" s="107"/>
      <c r="O34" s="939" t="str">
        <f ca="1">Taal04!$B$20</f>
        <v>Date</v>
      </c>
      <c r="P34" s="939" t="str">
        <f ca="1">Taal04!$B$21</f>
        <v>Time</v>
      </c>
      <c r="Q34" s="1116" t="str">
        <f ca="1">Taal04!$B$22</f>
        <v>Match</v>
      </c>
      <c r="R34" s="1116"/>
      <c r="S34" s="1116"/>
      <c r="T34" s="1116" t="str">
        <f ca="1">Taal04!$B$24</f>
        <v>Score</v>
      </c>
      <c r="U34" s="1117"/>
      <c r="V34" s="1117"/>
      <c r="W34" s="60"/>
      <c r="X34" s="17"/>
      <c r="Y34" s="4" t="s">
        <v>24</v>
      </c>
      <c r="Z34" s="4" t="s">
        <v>25</v>
      </c>
      <c r="AA34" s="138" t="s">
        <v>0</v>
      </c>
      <c r="AB34" s="4" t="s">
        <v>24</v>
      </c>
      <c r="AC34" s="4" t="s">
        <v>25</v>
      </c>
      <c r="AD34" s="138" t="s">
        <v>0</v>
      </c>
      <c r="AE34" s="849"/>
      <c r="AF34" s="251">
        <v>22</v>
      </c>
      <c r="AG34" s="106" t="str">
        <f t="shared" ca="1" si="0"/>
        <v>21|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Slovenia</v>
      </c>
      <c r="H35" s="441" t="s">
        <v>12</v>
      </c>
      <c r="I35" s="442" t="str">
        <f ca="1">AJ31</f>
        <v>Denmark</v>
      </c>
      <c r="J35" s="353">
        <v>0</v>
      </c>
      <c r="K35" s="54" t="s">
        <v>12</v>
      </c>
      <c r="L35" s="353">
        <v>2</v>
      </c>
      <c r="M35" s="9"/>
      <c r="N35" s="6" t="str">
        <f>"07"</f>
        <v>07</v>
      </c>
      <c r="O35" s="11">
        <f>DATE(2024,6,16)+TIME(15,0,0)</f>
        <v>45459.625</v>
      </c>
      <c r="P35" s="134">
        <f t="shared" ref="P35:P40" si="11">O35+TIME(0,0,0)</f>
        <v>45459.625</v>
      </c>
      <c r="Q35" s="440" t="str">
        <f ca="1">AJ39</f>
        <v>Poland</v>
      </c>
      <c r="R35" s="441" t="s">
        <v>12</v>
      </c>
      <c r="S35" s="442" t="str">
        <f ca="1">AJ40</f>
        <v>Netherlands</v>
      </c>
      <c r="T35" s="353">
        <v>1</v>
      </c>
      <c r="U35" s="54" t="s">
        <v>12</v>
      </c>
      <c r="V35" s="353">
        <v>1</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11|</v>
      </c>
      <c r="AE35" s="285">
        <f t="shared" ref="AE35:AE40" si="15">IF(AND(Y35="GOED",Z35="GOED",AB35="GOED",AB35="GOED"),IF(J35+L35&gt;T35+V35,J35+L35,T35+V35),IF(AND(Y35="GOED",Z35="GOED"),J35+L35,IF(AND(AB35="GOED",AB35="GOED"),T35+V35,0)))</f>
        <v>2</v>
      </c>
      <c r="AF35" s="251">
        <v>25</v>
      </c>
      <c r="AG35" s="106" t="str">
        <f t="shared" si="0"/>
        <v>13|</v>
      </c>
      <c r="AH35" s="1113"/>
      <c r="AI35" s="1113"/>
      <c r="AJ35" s="70"/>
      <c r="AK35" s="1113" t="s">
        <v>175</v>
      </c>
      <c r="AL35" s="1113" t="str">
        <f ca="1">AJ39</f>
        <v>Poland</v>
      </c>
      <c r="AM35" s="1113" t="str">
        <f ca="1">AJ40</f>
        <v>Netherlands</v>
      </c>
      <c r="AN35" s="1113" t="str">
        <f ca="1">AJ41</f>
        <v>Austria</v>
      </c>
      <c r="AO35" s="1113" t="str">
        <f ca="1">AJ42</f>
        <v>France</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Serbia</v>
      </c>
      <c r="H36" s="441" t="s">
        <v>12</v>
      </c>
      <c r="I36" s="442" t="str">
        <f ca="1">AJ33</f>
        <v>England</v>
      </c>
      <c r="J36" s="353">
        <v>1</v>
      </c>
      <c r="K36" s="54" t="s">
        <v>12</v>
      </c>
      <c r="L36" s="353">
        <v>3</v>
      </c>
      <c r="M36" s="9"/>
      <c r="N36" s="438" t="str">
        <f>"08"</f>
        <v>08</v>
      </c>
      <c r="O36" s="436">
        <f>DATE(2024,6,17)+TIME(21,0,0)</f>
        <v>45460.875</v>
      </c>
      <c r="P36" s="437">
        <f t="shared" si="11"/>
        <v>45460.875</v>
      </c>
      <c r="Q36" s="440" t="str">
        <f ca="1">AJ41</f>
        <v>Austria</v>
      </c>
      <c r="R36" s="441" t="s">
        <v>12</v>
      </c>
      <c r="S36" s="442" t="str">
        <f ca="1">AJ42</f>
        <v>France</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13|</v>
      </c>
      <c r="AB36" s="4" t="str">
        <f t="shared" si="12"/>
        <v>GOED</v>
      </c>
      <c r="AC36" s="4" t="str">
        <f t="shared" si="13"/>
        <v>GOED</v>
      </c>
      <c r="AD36" s="138" t="str">
        <f t="shared" si="14"/>
        <v>02|</v>
      </c>
      <c r="AE36" s="285">
        <f t="shared" si="15"/>
        <v>4</v>
      </c>
      <c r="AF36" s="251">
        <v>26</v>
      </c>
      <c r="AG36" s="106" t="str">
        <f t="shared" si="0"/>
        <v>02|</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Slovenia</v>
      </c>
      <c r="H37" s="7" t="s">
        <v>12</v>
      </c>
      <c r="I37" s="327" t="str">
        <f ca="1">AJ32</f>
        <v>Serbia</v>
      </c>
      <c r="J37" s="353">
        <v>2</v>
      </c>
      <c r="K37" s="54" t="s">
        <v>12</v>
      </c>
      <c r="L37" s="353">
        <v>2</v>
      </c>
      <c r="M37" s="9"/>
      <c r="N37" s="6">
        <v>19</v>
      </c>
      <c r="O37" s="11">
        <f>DATE(2024,6,21)+TIME(18,0,0)</f>
        <v>45464.75</v>
      </c>
      <c r="P37" s="134">
        <f t="shared" si="11"/>
        <v>45464.75</v>
      </c>
      <c r="Q37" s="440" t="str">
        <f ca="1">AJ39</f>
        <v>Poland</v>
      </c>
      <c r="R37" s="441" t="s">
        <v>12</v>
      </c>
      <c r="S37" s="442" t="str">
        <f ca="1">AJ41</f>
        <v>Austria</v>
      </c>
      <c r="T37" s="353">
        <v>2</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22|</v>
      </c>
      <c r="AB37" s="4" t="str">
        <f t="shared" si="12"/>
        <v>GOED</v>
      </c>
      <c r="AC37" s="4" t="str">
        <f t="shared" si="13"/>
        <v>GOED</v>
      </c>
      <c r="AD37" s="138" t="str">
        <f t="shared" si="14"/>
        <v>21|</v>
      </c>
      <c r="AE37" s="285">
        <f t="shared" si="15"/>
        <v>4</v>
      </c>
      <c r="AF37" s="251">
        <v>27</v>
      </c>
      <c r="AG37" s="106" t="str">
        <f t="shared" ca="1" si="0"/>
        <v>02|</v>
      </c>
      <c r="AH37" s="1113"/>
      <c r="AI37" s="1113"/>
      <c r="AJ37" s="161" t="str">
        <f ca="1">N33</f>
        <v>Group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England</v>
      </c>
      <c r="H38" s="7" t="s">
        <v>12</v>
      </c>
      <c r="I38" s="327" t="str">
        <f ca="1">AJ31</f>
        <v>Denmark</v>
      </c>
      <c r="J38" s="353">
        <v>3</v>
      </c>
      <c r="K38" s="54" t="s">
        <v>12</v>
      </c>
      <c r="L38" s="353">
        <v>0</v>
      </c>
      <c r="M38" s="9"/>
      <c r="N38" s="6">
        <v>20</v>
      </c>
      <c r="O38" s="11">
        <f>DATE(2024,6,21)+TIME(21,0,0)</f>
        <v>45464.875</v>
      </c>
      <c r="P38" s="134">
        <f t="shared" si="11"/>
        <v>45464.875</v>
      </c>
      <c r="Q38" s="8" t="str">
        <f ca="1">AJ40</f>
        <v>Netherlands</v>
      </c>
      <c r="R38" s="7" t="s">
        <v>12</v>
      </c>
      <c r="S38" s="327" t="str">
        <f ca="1">AJ42</f>
        <v>France</v>
      </c>
      <c r="T38" s="353">
        <v>2</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30|</v>
      </c>
      <c r="AB38" s="4" t="str">
        <f t="shared" si="12"/>
        <v>GOED</v>
      </c>
      <c r="AC38" s="4" t="str">
        <f t="shared" si="13"/>
        <v>GOED</v>
      </c>
      <c r="AD38" s="138" t="str">
        <f t="shared" si="14"/>
        <v>22|</v>
      </c>
      <c r="AE38" s="285">
        <f t="shared" si="15"/>
        <v>4</v>
      </c>
      <c r="AF38" s="251">
        <v>28</v>
      </c>
      <c r="AG38" s="106" t="str">
        <f t="shared" ca="1" si="0"/>
        <v>11|</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England</v>
      </c>
      <c r="H39" s="7" t="s">
        <v>12</v>
      </c>
      <c r="I39" s="327" t="str">
        <f ca="1">AJ30</f>
        <v>Slovenia</v>
      </c>
      <c r="J39" s="353">
        <v>2</v>
      </c>
      <c r="K39" s="54" t="s">
        <v>12</v>
      </c>
      <c r="L39" s="353">
        <v>0</v>
      </c>
      <c r="M39" s="9"/>
      <c r="N39" s="6">
        <v>31</v>
      </c>
      <c r="O39" s="436">
        <f>DATE(2024,6,25)+TIME(18,0,0)</f>
        <v>45468.75</v>
      </c>
      <c r="P39" s="134">
        <f t="shared" si="11"/>
        <v>45468.75</v>
      </c>
      <c r="Q39" s="8" t="str">
        <f ca="1">AJ40</f>
        <v>Netherlands</v>
      </c>
      <c r="R39" s="7" t="s">
        <v>12</v>
      </c>
      <c r="S39" s="327" t="str">
        <f ca="1">AJ41</f>
        <v>Austria</v>
      </c>
      <c r="T39" s="353">
        <v>2</v>
      </c>
      <c r="U39" s="54" t="s">
        <v>12</v>
      </c>
      <c r="V39" s="353">
        <v>1</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21|</v>
      </c>
      <c r="AE39" s="285">
        <f t="shared" si="15"/>
        <v>3</v>
      </c>
      <c r="AF39" s="251">
        <v>31</v>
      </c>
      <c r="AG39" s="106" t="str">
        <f t="shared" ca="1" si="0"/>
        <v>21|</v>
      </c>
      <c r="AH39" s="171" t="str">
        <f ca="1">RIGHT(AJ37,1)&amp;1</f>
        <v>D1</v>
      </c>
      <c r="AI39" s="168">
        <f ca="1">$AU$86</f>
        <v>4</v>
      </c>
      <c r="AJ39" s="160" t="str">
        <f ca="1">VLOOKUP(AH39,Voorblad!$X$67:$Z$98,2,FALSE)</f>
        <v>Poland</v>
      </c>
      <c r="AK39" s="159" t="str">
        <f ca="1">VLOOKUP(AH39,Voorblad!$X$67:$Z$98,3,FALSE)</f>
        <v>PL</v>
      </c>
      <c r="AL39" s="203">
        <v>0</v>
      </c>
      <c r="AM39" s="206">
        <f>IF(ISNUMBER(T35),T35,0)</f>
        <v>1</v>
      </c>
      <c r="AN39" s="206">
        <f>IF(ISNUMBER(T37),T37,0)</f>
        <v>2</v>
      </c>
      <c r="AO39" s="206">
        <f>IF(ISNUMBER(V40),V40,0)</f>
        <v>1</v>
      </c>
      <c r="AP39" s="155">
        <f>IF(AD35&lt;&gt;"FOUT",IF(AM39&gt;AL40,3,IF(AM39=AL40,1,0)),0)+IF(AD37&lt;&gt;"FOUT",IF(AN39&gt;AL41,3,IF(AN39=AL41,1,0)),0)+IF(AD40&lt;&gt;"FOUT",IF(AO39&gt;AL42,3,IF(AO39=AL42,1,0)),0)</f>
        <v>5</v>
      </c>
      <c r="AQ39" s="158">
        <f>SUM(AL39:AO39)</f>
        <v>4</v>
      </c>
      <c r="AR39" s="157">
        <f>SUM(AL39:AL42)</f>
        <v>3</v>
      </c>
      <c r="AS39" s="203">
        <v>0</v>
      </c>
      <c r="AT39" s="156">
        <f>IF($AP39=$AP40,AM39,0)</f>
        <v>1</v>
      </c>
      <c r="AU39" s="156">
        <f>IF($AP39=$AP41,AN39,0)</f>
        <v>0</v>
      </c>
      <c r="AV39" s="199">
        <f>IF($AP39=$AP42,AO39,0)</f>
        <v>1</v>
      </c>
      <c r="AW39" s="155">
        <f>IF(AT39&gt;AS40,3,IF(AT39=AS40,1,0))+IF(AU39&gt;AS41,3,IF(AU39=AS41,1,0))+IF(AV39&gt;AS42,3,IF(AV39=AS42,1,0))</f>
        <v>3</v>
      </c>
      <c r="AX39" s="158">
        <f>SUM(AS39:AV39)</f>
        <v>2</v>
      </c>
      <c r="AY39" s="157">
        <f>SUM(AS39:AS42)</f>
        <v>2</v>
      </c>
      <c r="AZ39" s="211">
        <f ca="1">AP39*10000000000000+(500+AQ39-AR39)*10000000000+AQ39*100000000+AW39*1000000+(500+AX39-AY39)*1000+AX39*10+AI39</f>
        <v>55010403500024</v>
      </c>
      <c r="BA39" s="214">
        <f ca="1">RANK(AZ39,AZ39:AZ42)</f>
        <v>3</v>
      </c>
    </row>
    <row r="40" spans="2:53" ht="15" customHeight="1" x14ac:dyDescent="0.25">
      <c r="B40" s="17"/>
      <c r="C40" s="949"/>
      <c r="D40" s="6">
        <v>30</v>
      </c>
      <c r="E40" s="436">
        <f>E39</f>
        <v>45468.875</v>
      </c>
      <c r="F40" s="134">
        <f t="shared" si="10"/>
        <v>45468.875</v>
      </c>
      <c r="G40" s="8" t="str">
        <f ca="1">AJ31</f>
        <v>Denmark</v>
      </c>
      <c r="H40" s="7" t="s">
        <v>12</v>
      </c>
      <c r="I40" s="327" t="str">
        <f ca="1">AJ32</f>
        <v>Serbia</v>
      </c>
      <c r="J40" s="353">
        <v>2</v>
      </c>
      <c r="K40" s="54" t="s">
        <v>12</v>
      </c>
      <c r="L40" s="353">
        <v>2</v>
      </c>
      <c r="M40" s="9"/>
      <c r="N40" s="6">
        <v>32</v>
      </c>
      <c r="O40" s="436">
        <f>O39</f>
        <v>45468.75</v>
      </c>
      <c r="P40" s="134">
        <f t="shared" si="11"/>
        <v>45468.75</v>
      </c>
      <c r="Q40" s="8" t="str">
        <f ca="1">AJ42</f>
        <v>France</v>
      </c>
      <c r="R40" s="7" t="s">
        <v>12</v>
      </c>
      <c r="S40" s="327" t="str">
        <f ca="1">AJ39</f>
        <v>Poland</v>
      </c>
      <c r="T40" s="353">
        <v>1</v>
      </c>
      <c r="U40" s="54" t="s">
        <v>12</v>
      </c>
      <c r="V40" s="353">
        <v>1</v>
      </c>
      <c r="W40" s="60"/>
      <c r="X40" s="17"/>
      <c r="Y40" s="4" t="str">
        <f t="shared" si="16"/>
        <v>GOED</v>
      </c>
      <c r="Z40" s="4" t="str">
        <f t="shared" si="17"/>
        <v>GOED</v>
      </c>
      <c r="AA40" s="138" t="str">
        <f t="shared" si="18"/>
        <v>22|</v>
      </c>
      <c r="AB40" s="4" t="str">
        <f t="shared" si="12"/>
        <v>GOED</v>
      </c>
      <c r="AC40" s="4" t="str">
        <f t="shared" si="13"/>
        <v>GOED</v>
      </c>
      <c r="AD40" s="138" t="str">
        <f t="shared" si="14"/>
        <v>11|</v>
      </c>
      <c r="AE40" s="285">
        <f t="shared" si="15"/>
        <v>4</v>
      </c>
      <c r="AF40" s="106">
        <v>32</v>
      </c>
      <c r="AG40" s="106" t="str">
        <f t="shared" ca="1" si="0"/>
        <v>11|</v>
      </c>
      <c r="AH40" s="171" t="str">
        <f ca="1">RIGHT(AJ37,1)&amp;2</f>
        <v>D2</v>
      </c>
      <c r="AI40" s="168">
        <f ca="1">$AV$86</f>
        <v>3</v>
      </c>
      <c r="AJ40" s="154" t="str">
        <f ca="1">VLOOKUP(AH40,Voorblad!$X$67:$Z$98,2,FALSE)</f>
        <v>Netherlands</v>
      </c>
      <c r="AK40" s="110" t="str">
        <f ca="1">VLOOKUP(AH40,Voorblad!$X$67:$Z$98,3,FALSE)</f>
        <v>NL</v>
      </c>
      <c r="AL40" s="207">
        <f>IF(ISNUMBER(V35),V35,0)</f>
        <v>1</v>
      </c>
      <c r="AM40" s="202">
        <v>0</v>
      </c>
      <c r="AN40" s="163">
        <f>IF(ISNUMBER(T39),T39,0)</f>
        <v>2</v>
      </c>
      <c r="AO40" s="163">
        <f>IF(ISNUMBER(T38),T38,0)</f>
        <v>2</v>
      </c>
      <c r="AP40" s="151">
        <f>IF(AD35&lt;&gt;"FOUT",IF(AL40&gt;AM39,3,IF(AL40=AM39,1,0)),0)+IF(AD39&lt;&gt;"FOUT",IF(AN40&gt;AM41,3,IF(AN40=AM41,1,0)),0)+IF(AD38&lt;&gt;"FOUT",IF(AO40&gt;AM42,3,IF(AO40=AM42,1,0)),0)</f>
        <v>5</v>
      </c>
      <c r="AQ40" s="153">
        <f>SUM(AL40:AO40)</f>
        <v>5</v>
      </c>
      <c r="AR40" s="152">
        <f>SUM(AM39:AM42)</f>
        <v>4</v>
      </c>
      <c r="AS40" s="110">
        <f>IF($AP40=$AP39,AL40,0)</f>
        <v>1</v>
      </c>
      <c r="AT40" s="202">
        <v>0</v>
      </c>
      <c r="AU40" s="69">
        <f>IF($AP40=$AP41,AN40,0)</f>
        <v>0</v>
      </c>
      <c r="AV40" s="200">
        <f>IF($AP40=$AP42,AO40,0)</f>
        <v>2</v>
      </c>
      <c r="AW40" s="151">
        <f>IF(AS40&gt;AT39,3,IF(AS40=AT39,1,0))+IF(AU40&gt;AT41,3,IF(AU40=AT41,1,0))+IF(AV40&gt;AT42,3,IF(AV40=AT42,1,0))</f>
        <v>3</v>
      </c>
      <c r="AX40" s="153">
        <f>SUM(AS40:AV40)</f>
        <v>3</v>
      </c>
      <c r="AY40" s="152">
        <f>SUM(AT39:AT42)</f>
        <v>3</v>
      </c>
      <c r="AZ40" s="212">
        <f ca="1">AP40*10000000000000+(500+AQ40-AR40)*10000000000+AQ40*100000000+AW40*1000000+(500+AX40-AY40)*1000+AX40*10+AI40</f>
        <v>55010503500033</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1</v>
      </c>
      <c r="AJ41" s="154" t="str">
        <f ca="1">VLOOKUP(AH41,Voorblad!$X$67:$Z$98,2,FALSE)</f>
        <v>Austria</v>
      </c>
      <c r="AK41" s="110" t="str">
        <f ca="1">VLOOKUP(AH41,Voorblad!$X$67:$Z$98,3,FALSE)</f>
        <v>AT</v>
      </c>
      <c r="AL41" s="207">
        <f>IF(ISNUMBER(V37),V37,0)</f>
        <v>1</v>
      </c>
      <c r="AM41" s="163">
        <f>IF(ISNUMBER(V39),V39,0)</f>
        <v>1</v>
      </c>
      <c r="AN41" s="202">
        <v>0</v>
      </c>
      <c r="AO41" s="163">
        <f>IF(ISNUMBER(T36),T36,0)</f>
        <v>0</v>
      </c>
      <c r="AP41" s="151">
        <f>IF(AD37&lt;&gt;"FOUT",IF(AL41&gt;AN39,3,IF(AL41=AN39,1,0)),0)+IF(AD39&lt;&gt;"FOUT",IF(AM41&gt;AN40,3,IF(AM41=AN40,1,0)),0)+IF(AD36&lt;&gt;"FOUT",IF(AO41&gt;AN42,3,IF(AO41=AN42,1,0)),0)</f>
        <v>0</v>
      </c>
      <c r="AQ41" s="153">
        <f>SUM(AL41:AO41)</f>
        <v>2</v>
      </c>
      <c r="AR41" s="152">
        <f>SUM(AN39:AN42)</f>
        <v>6</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4960203500001</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22|</v>
      </c>
      <c r="AH42" s="171" t="str">
        <f ca="1">RIGHT(AJ37,1)&amp;4</f>
        <v>D4</v>
      </c>
      <c r="AI42" s="168">
        <f ca="1">$AX$86</f>
        <v>2</v>
      </c>
      <c r="AJ42" s="150" t="str">
        <f ca="1">VLOOKUP(AH42,Voorblad!$X$67:$Z$98,2,FALSE)</f>
        <v>France</v>
      </c>
      <c r="AK42" s="149" t="str">
        <f ca="1">VLOOKUP(AH42,Voorblad!$X$67:$Z$98,3,FALSE)</f>
        <v>FR</v>
      </c>
      <c r="AL42" s="208">
        <f>IF(ISNUMBER(T40),T40,0)</f>
        <v>1</v>
      </c>
      <c r="AM42" s="209">
        <f>IF(ISNUMBER(V38),V38,0)</f>
        <v>2</v>
      </c>
      <c r="AN42" s="209">
        <f>IF(ISNUMBER(V36),V36,0)</f>
        <v>2</v>
      </c>
      <c r="AO42" s="210">
        <v>0</v>
      </c>
      <c r="AP42" s="428">
        <f>IF(AD40&lt;&gt;"FOUT",IF(AL42&gt;AO39,3,IF(AL42=AO39,1,0)),0)+IF(AD38&lt;&gt;"FOUT",IF(AM42&gt;AO40,3,IF(AM42=AO40,1,0)),0)+IF(AD36&lt;&gt;"FOUT",IF(AN42&gt;AO41,3,IF(AN42=AO41,1,0)),0)</f>
        <v>5</v>
      </c>
      <c r="AQ42" s="148">
        <f>SUM(AL42:AO42)</f>
        <v>5</v>
      </c>
      <c r="AR42" s="147">
        <f>SUM(AO39:AO42)</f>
        <v>3</v>
      </c>
      <c r="AS42" s="149">
        <f>IF($AP42=$AP39,AL42,0)</f>
        <v>1</v>
      </c>
      <c r="AT42" s="146">
        <f>IF($AP42=$AP40,AM42,0)</f>
        <v>2</v>
      </c>
      <c r="AU42" s="146">
        <f>IF($AP42=$AP41,AN42,0)</f>
        <v>0</v>
      </c>
      <c r="AV42" s="201">
        <v>0</v>
      </c>
      <c r="AW42" s="145">
        <f>IF(AS42&gt;AV39,3,IF(AS42=AV39,1,0))+IF(AT42&gt;AV40,3,IF(AT42=AV40,1,0))+IF(AU42&gt;AV41,3,IF(AU42=AV41,1,0))</f>
        <v>3</v>
      </c>
      <c r="AX42" s="148">
        <f>SUM(AS42:AV42)</f>
        <v>3</v>
      </c>
      <c r="AY42" s="147">
        <f>SUM(AV39:AV42)</f>
        <v>3</v>
      </c>
      <c r="AZ42" s="213">
        <f ca="1">AP42*10000000000000+(500+AQ42-AR42)*10000000000+AQ42*100000000+AW42*1000000+(500+AX42-AY42)*1000+AX42*10+AI42</f>
        <v>55020503500032</v>
      </c>
      <c r="BA42" s="216">
        <f ca="1">RANK(AZ42,AZ39:AZ42)</f>
        <v>1</v>
      </c>
    </row>
    <row r="43" spans="2:53" ht="20.100000000000001" customHeight="1" x14ac:dyDescent="0.4">
      <c r="B43" s="17"/>
      <c r="C43" s="954"/>
      <c r="D43" s="828" t="str">
        <f ca="1">Taal04!$B$26&amp;" E"</f>
        <v>Group E</v>
      </c>
      <c r="E43" s="17"/>
      <c r="F43" s="17"/>
      <c r="G43" s="17"/>
      <c r="H43" s="17"/>
      <c r="I43" s="17"/>
      <c r="J43" s="17"/>
      <c r="K43" s="17"/>
      <c r="L43" s="17"/>
      <c r="M43" s="17"/>
      <c r="N43" s="828" t="str">
        <f ca="1">Taal04!$B$26&amp;" F"</f>
        <v>Group F</v>
      </c>
      <c r="O43" s="17"/>
      <c r="P43" s="17"/>
      <c r="Q43" s="17"/>
      <c r="R43" s="17"/>
      <c r="S43" s="17"/>
      <c r="T43" s="17"/>
      <c r="U43" s="17"/>
      <c r="V43" s="17"/>
      <c r="W43" s="955"/>
      <c r="X43" s="17"/>
      <c r="Y43" s="1120" t="str">
        <f ca="1">"Controle "&amp;D43</f>
        <v>Controle Group E</v>
      </c>
      <c r="Z43" s="1120"/>
      <c r="AA43" s="1120"/>
      <c r="AB43" s="1120" t="str">
        <f ca="1">"Controle "&amp;N43</f>
        <v>Controle Group F</v>
      </c>
      <c r="AC43" s="1120"/>
      <c r="AD43" s="1120"/>
      <c r="AE43" s="849"/>
      <c r="AF43" s="251">
        <v>33</v>
      </c>
      <c r="AG43" s="106" t="str">
        <f t="shared" ca="1" si="0"/>
        <v>20|</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Date</v>
      </c>
      <c r="F44" s="939" t="str">
        <f ca="1">Taal04!$B$21</f>
        <v>Time</v>
      </c>
      <c r="G44" s="1116" t="str">
        <f ca="1">Taal04!$B$22</f>
        <v>Match</v>
      </c>
      <c r="H44" s="1116"/>
      <c r="I44" s="1116"/>
      <c r="J44" s="1116" t="str">
        <f ca="1">Taal04!$B$24</f>
        <v>Score</v>
      </c>
      <c r="K44" s="1117"/>
      <c r="L44" s="1117"/>
      <c r="M44" s="17"/>
      <c r="N44" s="107"/>
      <c r="O44" s="939" t="str">
        <f ca="1">Taal04!$B$20</f>
        <v>Date</v>
      </c>
      <c r="P44" s="939" t="str">
        <f ca="1">Taal04!$B$21</f>
        <v>Time</v>
      </c>
      <c r="Q44" s="1116" t="str">
        <f ca="1">Taal04!$B$22</f>
        <v>Match</v>
      </c>
      <c r="R44" s="1116"/>
      <c r="S44" s="1116"/>
      <c r="T44" s="1116" t="str">
        <f ca="1">Taal04!$B$24</f>
        <v>Score</v>
      </c>
      <c r="U44" s="1117"/>
      <c r="V44" s="1117"/>
      <c r="W44" s="955"/>
      <c r="X44" s="17"/>
      <c r="Y44" s="4" t="s">
        <v>24</v>
      </c>
      <c r="Z44" s="4" t="s">
        <v>25</v>
      </c>
      <c r="AA44" s="138" t="s">
        <v>0</v>
      </c>
      <c r="AB44" s="4" t="s">
        <v>24</v>
      </c>
      <c r="AC44" s="4" t="s">
        <v>25</v>
      </c>
      <c r="AD44" s="138" t="s">
        <v>0</v>
      </c>
      <c r="AE44" s="849"/>
      <c r="AF44" s="251">
        <v>34</v>
      </c>
      <c r="AG44" s="106" t="str">
        <f t="shared" ca="1" si="0"/>
        <v>23|</v>
      </c>
      <c r="AH44" s="1113"/>
      <c r="AI44" s="1113"/>
      <c r="AJ44" s="70"/>
      <c r="AK44" s="1113" t="s">
        <v>175</v>
      </c>
      <c r="AL44" s="1113" t="str">
        <f ca="1">AJ48</f>
        <v>Belgium</v>
      </c>
      <c r="AM44" s="1113" t="str">
        <f ca="1">AJ49</f>
        <v>Slovakia</v>
      </c>
      <c r="AN44" s="1113" t="str">
        <f ca="1">AJ50</f>
        <v>Romania</v>
      </c>
      <c r="AO44" s="1113" t="str">
        <f ca="1">AJ51</f>
        <v>Ukraine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Romania</v>
      </c>
      <c r="H45" s="7" t="s">
        <v>12</v>
      </c>
      <c r="I45" s="327" t="str">
        <f ca="1">AJ51</f>
        <v>Ukraine</v>
      </c>
      <c r="J45" s="353">
        <v>1</v>
      </c>
      <c r="K45" s="54" t="s">
        <v>12</v>
      </c>
      <c r="L45" s="353">
        <v>1</v>
      </c>
      <c r="M45" s="9"/>
      <c r="N45" s="6">
        <v>11</v>
      </c>
      <c r="O45" s="11">
        <f>DATE(2024,6,18)+TIME(18,0,0)</f>
        <v>45461.75</v>
      </c>
      <c r="P45" s="134">
        <f t="shared" ref="P45:P50" si="20">O45+TIME(0,0,0)</f>
        <v>45461.75</v>
      </c>
      <c r="Q45" s="440" t="str">
        <f ca="1">AJ57</f>
        <v>Turkey</v>
      </c>
      <c r="R45" s="441" t="s">
        <v>12</v>
      </c>
      <c r="S45" s="442" t="str">
        <f ca="1">AJ58</f>
        <v>Georgia</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12|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Belgium</v>
      </c>
      <c r="H46" s="7" t="s">
        <v>12</v>
      </c>
      <c r="I46" s="327" t="str">
        <f ca="1">AJ49</f>
        <v>Slovakia</v>
      </c>
      <c r="J46" s="353">
        <v>2</v>
      </c>
      <c r="K46" s="54" t="s">
        <v>12</v>
      </c>
      <c r="L46" s="353">
        <v>3</v>
      </c>
      <c r="M46" s="9"/>
      <c r="N46" s="6">
        <v>12</v>
      </c>
      <c r="O46" s="11">
        <f>DATE(2024,6,18)+TIME(21,0,0)</f>
        <v>45461.875</v>
      </c>
      <c r="P46" s="134">
        <f t="shared" si="20"/>
        <v>45461.875</v>
      </c>
      <c r="Q46" s="440" t="str">
        <f ca="1">AJ59</f>
        <v>Portugal</v>
      </c>
      <c r="R46" s="441" t="s">
        <v>12</v>
      </c>
      <c r="S46" s="442" t="str">
        <f ca="1">AJ60</f>
        <v>Czech Republic</v>
      </c>
      <c r="T46" s="353">
        <v>2</v>
      </c>
      <c r="U46" s="54" t="s">
        <v>12</v>
      </c>
      <c r="V46" s="353">
        <v>0</v>
      </c>
      <c r="W46" s="955"/>
      <c r="X46" s="17"/>
      <c r="Y46" s="4" t="str">
        <f t="shared" si="21"/>
        <v>GOED</v>
      </c>
      <c r="Z46" s="4" t="str">
        <f t="shared" si="22"/>
        <v>GOED</v>
      </c>
      <c r="AA46" s="138" t="str">
        <f t="shared" si="23"/>
        <v>23|</v>
      </c>
      <c r="AB46" s="4" t="str">
        <f t="shared" si="24"/>
        <v>GOED</v>
      </c>
      <c r="AC46" s="4" t="str">
        <f t="shared" si="25"/>
        <v>GOED</v>
      </c>
      <c r="AD46" s="138" t="str">
        <f t="shared" si="26"/>
        <v>20|</v>
      </c>
      <c r="AE46" s="285">
        <f t="shared" si="27"/>
        <v>5</v>
      </c>
      <c r="AF46" s="251">
        <v>36</v>
      </c>
      <c r="AG46" s="106" t="str">
        <f t="shared" ca="1" si="0"/>
        <v>20|</v>
      </c>
      <c r="AH46" s="1113"/>
      <c r="AI46" s="1113"/>
      <c r="AJ46" s="445" t="str">
        <f ca="1">D43</f>
        <v>Group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Slovakia</v>
      </c>
      <c r="H47" s="441" t="s">
        <v>12</v>
      </c>
      <c r="I47" s="442" t="str">
        <f ca="1">AJ51</f>
        <v>Ukraine</v>
      </c>
      <c r="J47" s="353">
        <v>2</v>
      </c>
      <c r="K47" s="54" t="s">
        <v>12</v>
      </c>
      <c r="L47" s="353">
        <v>1</v>
      </c>
      <c r="M47" s="9"/>
      <c r="N47" s="6">
        <v>24</v>
      </c>
      <c r="O47" s="11">
        <f>DATE(2024,6,22)+TIME(15,0,0)</f>
        <v>45465.625</v>
      </c>
      <c r="P47" s="134">
        <f>O47+TIME(0,0,0)</f>
        <v>45465.625</v>
      </c>
      <c r="Q47" s="440" t="str">
        <f ca="1">AJ58</f>
        <v>Georgia</v>
      </c>
      <c r="R47" s="441" t="s">
        <v>12</v>
      </c>
      <c r="S47" s="442" t="str">
        <f ca="1">AJ60</f>
        <v>Czech Republic</v>
      </c>
      <c r="T47" s="353">
        <v>0</v>
      </c>
      <c r="U47" s="54" t="s">
        <v>12</v>
      </c>
      <c r="V47" s="353">
        <v>0</v>
      </c>
      <c r="W47" s="955"/>
      <c r="X47" s="17"/>
      <c r="Y47" s="4" t="str">
        <f t="shared" si="21"/>
        <v>GOED</v>
      </c>
      <c r="Z47" s="4" t="str">
        <f t="shared" si="22"/>
        <v>GOED</v>
      </c>
      <c r="AA47" s="138" t="str">
        <f t="shared" si="23"/>
        <v>21|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00|</v>
      </c>
      <c r="AE47" s="285">
        <f t="shared" si="27"/>
        <v>3</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Belgium</v>
      </c>
      <c r="H48" s="7" t="s">
        <v>12</v>
      </c>
      <c r="I48" s="327" t="str">
        <f ca="1">AJ50</f>
        <v>Romania</v>
      </c>
      <c r="J48" s="353">
        <v>2</v>
      </c>
      <c r="K48" s="54" t="s">
        <v>12</v>
      </c>
      <c r="L48" s="353">
        <v>1</v>
      </c>
      <c r="M48" s="9"/>
      <c r="N48" s="6">
        <v>23</v>
      </c>
      <c r="O48" s="11">
        <f>DATE(2024,6,22)+TIME(18,0,0)</f>
        <v>45465.75</v>
      </c>
      <c r="P48" s="134">
        <f>O48+TIME(0,0,0)</f>
        <v>45465.75</v>
      </c>
      <c r="Q48" s="440" t="str">
        <f ca="1">AJ57</f>
        <v>Turkey</v>
      </c>
      <c r="R48" s="441" t="s">
        <v>12</v>
      </c>
      <c r="S48" s="442" t="str">
        <f ca="1">AJ59</f>
        <v>Portugal</v>
      </c>
      <c r="T48" s="353">
        <v>1</v>
      </c>
      <c r="U48" s="54" t="s">
        <v>12</v>
      </c>
      <c r="V48" s="353">
        <v>2</v>
      </c>
      <c r="W48" s="955"/>
      <c r="X48" s="17"/>
      <c r="Y48" s="4" t="str">
        <f t="shared" si="21"/>
        <v>GOED</v>
      </c>
      <c r="Z48" s="4" t="str">
        <f t="shared" si="22"/>
        <v>GOED</v>
      </c>
      <c r="AA48" s="138" t="str">
        <f t="shared" si="23"/>
        <v>21|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Belgium</v>
      </c>
      <c r="AK48" s="159" t="str">
        <f ca="1">VLOOKUP(AH48,Voorblad!$X$67:$Z$98,3,FALSE)</f>
        <v>BE</v>
      </c>
      <c r="AL48" s="203">
        <v>0</v>
      </c>
      <c r="AM48" s="206">
        <f>IF(ISNUMBER(J46),J46,0)</f>
        <v>2</v>
      </c>
      <c r="AN48" s="206">
        <f>IF(ISNUMBER(J48),J48,0)</f>
        <v>2</v>
      </c>
      <c r="AO48" s="206">
        <f>IF(ISNUMBER(L50),L50,0)</f>
        <v>3</v>
      </c>
      <c r="AP48" s="155">
        <f>IF(AA46&lt;&gt;"FOUT",IF(AM48&gt;AL49,3,IF(AM48=AL49,1,0)),0)+IF(AA48&lt;&gt;"FOUT",IF(AN48&gt;AL50,3,IF(AN48=AL50,1,0)),0)+IF(AA50&lt;&gt;"FOUT",IF(AO48&gt;AL51,3,IF(AO48=AL51,1,0)),0)</f>
        <v>6</v>
      </c>
      <c r="AQ48" s="158">
        <f>SUM(AL48:AO48)</f>
        <v>7</v>
      </c>
      <c r="AR48" s="157">
        <f>SUM(AL48:AL51)</f>
        <v>6</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65010703500001</v>
      </c>
      <c r="BA48" s="214">
        <f ca="1">RANK(AZ48,AZ48:AZ51)</f>
        <v>2</v>
      </c>
    </row>
    <row r="49" spans="1:53" ht="15" customHeight="1" x14ac:dyDescent="0.25">
      <c r="B49" s="17"/>
      <c r="C49" s="954"/>
      <c r="D49" s="6">
        <v>33</v>
      </c>
      <c r="E49" s="436">
        <f>DATE(2024,6,26)+TIME(18,0,0)</f>
        <v>45469.75</v>
      </c>
      <c r="F49" s="134">
        <f t="shared" si="19"/>
        <v>45469.75</v>
      </c>
      <c r="G49" s="8" t="str">
        <f ca="1">AJ49</f>
        <v>Slovakia</v>
      </c>
      <c r="H49" s="7" t="s">
        <v>12</v>
      </c>
      <c r="I49" s="327" t="str">
        <f ca="1">AJ50</f>
        <v>Romania</v>
      </c>
      <c r="J49" s="353">
        <v>2</v>
      </c>
      <c r="K49" s="54" t="s">
        <v>12</v>
      </c>
      <c r="L49" s="353">
        <v>0</v>
      </c>
      <c r="M49" s="9"/>
      <c r="N49" s="6">
        <v>35</v>
      </c>
      <c r="O49" s="436">
        <f>DATE(2024,6,26)+TIME(21,0,0)</f>
        <v>45469.875</v>
      </c>
      <c r="P49" s="134">
        <f t="shared" si="20"/>
        <v>45469.875</v>
      </c>
      <c r="Q49" s="8" t="str">
        <f ca="1">AJ58</f>
        <v>Georgia</v>
      </c>
      <c r="R49" s="7" t="s">
        <v>12</v>
      </c>
      <c r="S49" s="327" t="str">
        <f ca="1">AJ59</f>
        <v>Portugal</v>
      </c>
      <c r="T49" s="353">
        <v>1</v>
      </c>
      <c r="U49" s="54" t="s">
        <v>12</v>
      </c>
      <c r="V49" s="353">
        <v>2</v>
      </c>
      <c r="W49" s="955"/>
      <c r="X49" s="17"/>
      <c r="Y49" s="4" t="str">
        <f t="shared" si="21"/>
        <v>GOED</v>
      </c>
      <c r="Z49" s="4" t="str">
        <f t="shared" si="22"/>
        <v>GOED</v>
      </c>
      <c r="AA49" s="138" t="str">
        <f t="shared" si="23"/>
        <v>20|</v>
      </c>
      <c r="AB49" s="4" t="str">
        <f t="shared" si="24"/>
        <v>GOED</v>
      </c>
      <c r="AC49" s="4" t="str">
        <f t="shared" si="25"/>
        <v>GOED</v>
      </c>
      <c r="AD49" s="138" t="str">
        <f t="shared" si="26"/>
        <v>12|</v>
      </c>
      <c r="AE49" s="285">
        <f t="shared" si="27"/>
        <v>3</v>
      </c>
      <c r="AF49" s="251">
        <v>39</v>
      </c>
      <c r="AG49" s="106" t="str">
        <f t="shared" ca="1" si="0"/>
        <v>ERROR</v>
      </c>
      <c r="AH49" s="171" t="str">
        <f ca="1">RIGHT(AJ46,1)&amp;2</f>
        <v>E2</v>
      </c>
      <c r="AI49" s="168">
        <f ca="1">$AV$87</f>
        <v>3</v>
      </c>
      <c r="AJ49" s="455" t="str">
        <f ca="1">VLOOKUP(AH49,Voorblad!$X$67:$Z$98,2,FALSE)</f>
        <v>Slovakia</v>
      </c>
      <c r="AK49" s="110" t="str">
        <f ca="1">VLOOKUP(AH49,Voorblad!$X$67:$Z$98,3,FALSE)</f>
        <v>SK</v>
      </c>
      <c r="AL49" s="207">
        <f>IF(ISNUMBER(L46),L46,0)</f>
        <v>3</v>
      </c>
      <c r="AM49" s="202">
        <v>0</v>
      </c>
      <c r="AN49" s="163">
        <f>IF(ISNUMBER(J49),J49,0)</f>
        <v>2</v>
      </c>
      <c r="AO49" s="163">
        <f>IF(ISNUMBER(J47),J47,0)</f>
        <v>2</v>
      </c>
      <c r="AP49" s="151">
        <f>IF(AA46&lt;&gt;"FOUT",IF(AL49&gt;AM48,3,IF(AL49=AM48,1,0)),0)+IF(AA49&lt;&gt;"FOUT",IF(AN49&gt;AM50,3,IF(AN49=AM50,1,0)),0)+IF(AA47&lt;&gt;"FOUT",IF(AO49&gt;AM51,3,IF(AO49=AM51,1,0)),0)</f>
        <v>9</v>
      </c>
      <c r="AQ49" s="153">
        <f>SUM(AL49:AO49)</f>
        <v>7</v>
      </c>
      <c r="AR49" s="152">
        <f>SUM(AM48:AM51)</f>
        <v>3</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95040703500003</v>
      </c>
      <c r="BA49" s="215">
        <f ca="1">RANK(AZ49,AZ48:AZ51)</f>
        <v>1</v>
      </c>
    </row>
    <row r="50" spans="1:53" ht="15" customHeight="1" x14ac:dyDescent="0.25">
      <c r="B50" s="17"/>
      <c r="C50" s="954"/>
      <c r="D50" s="6">
        <v>34</v>
      </c>
      <c r="E50" s="436">
        <f>E49</f>
        <v>45469.75</v>
      </c>
      <c r="F50" s="134">
        <f t="shared" si="19"/>
        <v>45469.75</v>
      </c>
      <c r="G50" s="8" t="str">
        <f ca="1">AJ51</f>
        <v>Ukraine</v>
      </c>
      <c r="H50" s="7" t="s">
        <v>12</v>
      </c>
      <c r="I50" s="327" t="str">
        <f ca="1">AJ48</f>
        <v>Belgium</v>
      </c>
      <c r="J50" s="353">
        <v>2</v>
      </c>
      <c r="K50" s="54" t="s">
        <v>12</v>
      </c>
      <c r="L50" s="353">
        <v>3</v>
      </c>
      <c r="M50" s="9"/>
      <c r="N50" s="6">
        <v>36</v>
      </c>
      <c r="O50" s="436">
        <f>O49</f>
        <v>45469.875</v>
      </c>
      <c r="P50" s="134">
        <f t="shared" si="20"/>
        <v>45469.875</v>
      </c>
      <c r="Q50" s="8" t="str">
        <f ca="1">AJ60</f>
        <v>Czech Republic</v>
      </c>
      <c r="R50" s="7" t="s">
        <v>12</v>
      </c>
      <c r="S50" s="327" t="str">
        <f ca="1">AJ57</f>
        <v>Turkey</v>
      </c>
      <c r="T50" s="353">
        <v>2</v>
      </c>
      <c r="U50" s="54" t="s">
        <v>12</v>
      </c>
      <c r="V50" s="353">
        <v>0</v>
      </c>
      <c r="W50" s="955"/>
      <c r="X50" s="17"/>
      <c r="Y50" s="4" t="str">
        <f t="shared" si="21"/>
        <v>GOED</v>
      </c>
      <c r="Z50" s="4" t="str">
        <f t="shared" si="22"/>
        <v>GOED</v>
      </c>
      <c r="AA50" s="138" t="str">
        <f t="shared" si="23"/>
        <v>23|</v>
      </c>
      <c r="AB50" s="4" t="str">
        <f t="shared" si="24"/>
        <v>GOED</v>
      </c>
      <c r="AC50" s="4" t="str">
        <f t="shared" si="25"/>
        <v>GOED</v>
      </c>
      <c r="AD50" s="138" t="str">
        <f t="shared" si="26"/>
        <v>20|</v>
      </c>
      <c r="AE50" s="285">
        <f t="shared" si="27"/>
        <v>5</v>
      </c>
      <c r="AF50" s="251">
        <v>40</v>
      </c>
      <c r="AG50" s="106" t="str">
        <f t="shared" ca="1" si="0"/>
        <v>ERROR</v>
      </c>
      <c r="AH50" s="171" t="str">
        <f ca="1">RIGHT(AJ46,1)&amp;3</f>
        <v>E3</v>
      </c>
      <c r="AI50" s="168">
        <f ca="1">$AW$87</f>
        <v>2</v>
      </c>
      <c r="AJ50" s="455" t="str">
        <f ca="1">VLOOKUP(AH50,Voorblad!$X$67:$Z$98,2,FALSE)</f>
        <v>Romania</v>
      </c>
      <c r="AK50" s="110" t="str">
        <f ca="1">VLOOKUP(AH50,Voorblad!$X$67:$Z$98,3,FALSE)</f>
        <v>RO</v>
      </c>
      <c r="AL50" s="207">
        <f>IF(ISNUMBER(L48),L48,0)</f>
        <v>1</v>
      </c>
      <c r="AM50" s="163">
        <f>IF(ISNUMBER(L49),L49,0)</f>
        <v>0</v>
      </c>
      <c r="AN50" s="202">
        <v>0</v>
      </c>
      <c r="AO50" s="163">
        <f>IF(ISNUMBER(J45),J45,0)</f>
        <v>1</v>
      </c>
      <c r="AP50" s="151">
        <f>IF(AA48&lt;&gt;"FOUT",IF(AL50&gt;AN48,3,IF(AL50=AN48,1,0)),0)+IF(AA49&lt;&gt;"FOUT",IF(AM50&gt;AN49,3,IF(AM50=AN49,1,0)),0)+IF(AA45&lt;&gt;"FOUT",IF(AO50&gt;AN51,3,IF(AO50=AN51,1,0)),0)</f>
        <v>1</v>
      </c>
      <c r="AQ50" s="153">
        <f>SUM(AL50:AO50)</f>
        <v>2</v>
      </c>
      <c r="AR50" s="152">
        <f>SUM(AN48:AN51)</f>
        <v>5</v>
      </c>
      <c r="AS50" s="110">
        <f>IF($AP50=$AP48,AL50,0)</f>
        <v>0</v>
      </c>
      <c r="AT50" s="69">
        <f>IF($AP50=$AP49,AM50,0)</f>
        <v>0</v>
      </c>
      <c r="AU50" s="202">
        <v>0</v>
      </c>
      <c r="AV50" s="200">
        <f>IF($AP50=$AP51,AO50,0)</f>
        <v>1</v>
      </c>
      <c r="AW50" s="151">
        <f>IF(AS50&gt;AU48,3,IF(AS50=AU48,1,0))+IF(AT50&gt;AU49,3,IF(AT50=AU49,1,0))+IF(AV50&gt;AU51,3,IF(AV50=AU51,1,0))</f>
        <v>3</v>
      </c>
      <c r="AX50" s="153">
        <f>SUM(AS50:AV50)</f>
        <v>1</v>
      </c>
      <c r="AY50" s="152">
        <f>SUM(AU48:AU51)</f>
        <v>1</v>
      </c>
      <c r="AZ50" s="212">
        <f ca="1">AP50*10000000000000+(500+AQ50-AR50)*10000000000+AQ50*100000000+AW50*1000000+(500+AX50-AY50)*1000+AX50*10+AI50</f>
        <v>14970203500012</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4</v>
      </c>
      <c r="AJ51" s="465" t="str">
        <f ca="1">VLOOKUP(AH51,Voorblad!$X$67:$Z$98,2,FALSE)</f>
        <v>Ukraine</v>
      </c>
      <c r="AK51" s="149" t="str">
        <f ca="1">VLOOKUP(AH51,Voorblad!$X$67:$Z$98,3,FALSE)</f>
        <v>UA</v>
      </c>
      <c r="AL51" s="208">
        <f>IF(ISNUMBER(J50),J50,0)</f>
        <v>2</v>
      </c>
      <c r="AM51" s="209">
        <f>IF(ISNUMBER(L47),L47,0)</f>
        <v>1</v>
      </c>
      <c r="AN51" s="209">
        <f>IF(ISNUMBER(L45),L45,0)</f>
        <v>1</v>
      </c>
      <c r="AO51" s="210">
        <v>0</v>
      </c>
      <c r="AP51" s="428">
        <f>IF(AA50&lt;&gt;"FOUT",IF(AL51&gt;AO48,3,IF(AL51=AO48,1,0)),0)+IF(AA47&lt;&gt;"FOUT",IF(AM51&gt;AO49,3,IF(AM51=AO49,1,0)),0)+IF(AA45&lt;&gt;"FOUT",IF(AN51&gt;AO50,3,IF(AN51=AO50,1,0)),0)</f>
        <v>1</v>
      </c>
      <c r="AQ51" s="148">
        <f>SUM(AL51:AO51)</f>
        <v>4</v>
      </c>
      <c r="AR51" s="147">
        <f>SUM(AO48:AO51)</f>
        <v>6</v>
      </c>
      <c r="AS51" s="149">
        <f>IF($AP51=$AP48,AL51,0)</f>
        <v>0</v>
      </c>
      <c r="AT51" s="146">
        <f>IF($AP51=$AP49,AM51,0)</f>
        <v>0</v>
      </c>
      <c r="AU51" s="146">
        <f>IF($AP51=$AP50,AN51,0)</f>
        <v>1</v>
      </c>
      <c r="AV51" s="201">
        <v>0</v>
      </c>
      <c r="AW51" s="145">
        <f>IF(AS51&gt;AV48,3,IF(AS51=AV48,1,0))+IF(AT51&gt;AV49,3,IF(AT51=AV49,1,0))+IF(AU51&gt;AV50,3,IF(AU51=AV50,1,0))</f>
        <v>3</v>
      </c>
      <c r="AX51" s="148">
        <f>SUM(AS51:AV51)</f>
        <v>1</v>
      </c>
      <c r="AY51" s="147">
        <f>SUM(AV48:AV51)</f>
        <v>1</v>
      </c>
      <c r="AZ51" s="213">
        <f ca="1">AP51*10000000000000+(500+AQ51-AR51)*10000000000+AQ51*100000000+AW51*1000000+(500+AX51-AY51)*1000+AX51*10+AI51</f>
        <v>14980403500014</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Group G</v>
      </c>
      <c r="E53" s="17"/>
      <c r="F53" s="17"/>
      <c r="G53" s="17"/>
      <c r="H53" s="17"/>
      <c r="I53" s="17"/>
      <c r="J53" s="17"/>
      <c r="K53" s="17"/>
      <c r="L53" s="17"/>
      <c r="M53" s="381"/>
      <c r="N53" s="828" t="str">
        <f ca="1">Taal04!$B$26&amp;" H"</f>
        <v>Group H</v>
      </c>
      <c r="O53" s="17"/>
      <c r="P53" s="17"/>
      <c r="Q53" s="17"/>
      <c r="R53" s="17"/>
      <c r="S53" s="17"/>
      <c r="T53" s="17"/>
      <c r="U53" s="17"/>
      <c r="V53" s="17"/>
      <c r="W53" s="960"/>
      <c r="X53" s="17"/>
      <c r="Y53" s="1118" t="str">
        <f ca="1">"Controle "&amp;D53</f>
        <v>Controle Group G</v>
      </c>
      <c r="Z53" s="1118"/>
      <c r="AA53" s="1118"/>
      <c r="AB53" s="1118" t="str">
        <f ca="1">"Controle "&amp;N53</f>
        <v>Controle Group H</v>
      </c>
      <c r="AC53" s="1118"/>
      <c r="AD53" s="1118"/>
      <c r="AE53" s="849"/>
      <c r="AF53" s="251">
        <v>43</v>
      </c>
      <c r="AG53" s="106" t="str">
        <f t="shared" ca="1" si="0"/>
        <v>ERROR</v>
      </c>
      <c r="AH53" s="1113"/>
      <c r="AI53" s="1113"/>
      <c r="AJ53" s="489"/>
      <c r="AK53" s="1113" t="s">
        <v>175</v>
      </c>
      <c r="AL53" s="1113" t="str">
        <f ca="1">AJ57</f>
        <v>Turkey</v>
      </c>
      <c r="AM53" s="1113" t="str">
        <f ca="1">AJ58</f>
        <v>Georgia</v>
      </c>
      <c r="AN53" s="1113" t="str">
        <f ca="1">AJ59</f>
        <v>Portugal</v>
      </c>
      <c r="AO53" s="1113" t="str">
        <f ca="1">AJ60</f>
        <v>Czech Republic</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Date</v>
      </c>
      <c r="F54" s="939" t="str">
        <f ca="1">Taal04!$B$21</f>
        <v>Time</v>
      </c>
      <c r="G54" s="1116" t="str">
        <f ca="1">Taal04!$B$22</f>
        <v>Match</v>
      </c>
      <c r="H54" s="1116"/>
      <c r="I54" s="1116"/>
      <c r="J54" s="1116" t="str">
        <f ca="1">Taal04!$B$24</f>
        <v>Score</v>
      </c>
      <c r="K54" s="1117"/>
      <c r="L54" s="1117"/>
      <c r="M54" s="77"/>
      <c r="N54" s="107"/>
      <c r="O54" s="939" t="str">
        <f ca="1">Taal04!$B$20</f>
        <v>Date</v>
      </c>
      <c r="P54" s="939" t="s">
        <v>11</v>
      </c>
      <c r="Q54" s="1116" t="str">
        <f ca="1">Taal04!$B$22</f>
        <v>Match</v>
      </c>
      <c r="R54" s="1116"/>
      <c r="S54" s="1116"/>
      <c r="T54" s="1116" t="str">
        <f ca="1">Taal04!$B$24</f>
        <v>Score</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Group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Turkey</v>
      </c>
      <c r="AK57" s="159" t="str">
        <f ca="1">VLOOKUP(AH57,Voorblad!$X$67:$Z$98,3,FALSE)</f>
        <v>TR</v>
      </c>
      <c r="AL57" s="203">
        <v>0</v>
      </c>
      <c r="AM57" s="206">
        <f>IF(ISNUMBER(T45),T45,0)</f>
        <v>2</v>
      </c>
      <c r="AN57" s="206">
        <f>IF(ISNUMBER(T48),T48,0)</f>
        <v>1</v>
      </c>
      <c r="AO57" s="206">
        <f>IF(ISNUMBER(V50),V50,0)</f>
        <v>0</v>
      </c>
      <c r="AP57" s="155">
        <f>IF(AD45&lt;&gt;"FOUT",IF(AM57&gt;AL58,3,IF(AM57=AL58,1,0)),0)+IF(AD48&lt;&gt;"FOUT",IF(AN57&gt;AL59,3,IF(AN57=AL59,1,0)),0)+IF(AD50&lt;&gt;"FOUT",IF(AO57&gt;AL60,3,IF(AO57=AL60,1,0)),0)</f>
        <v>3</v>
      </c>
      <c r="AQ57" s="158">
        <f>SUM(AL57:AO57)</f>
        <v>3</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34990303500004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2</v>
      </c>
      <c r="AJ58" s="455" t="str">
        <f ca="1">VLOOKUP(AH58,Voorblad!$X$67:$Z$98,2,FALSE)</f>
        <v>Georgia</v>
      </c>
      <c r="AK58" s="110" t="str">
        <f ca="1">VLOOKUP(AH58,Voorblad!$X$67:$Z$98,3,FALSE)</f>
        <v>GE</v>
      </c>
      <c r="AL58" s="207">
        <f>IF(ISNUMBER(V45),V45,0)</f>
        <v>0</v>
      </c>
      <c r="AM58" s="202">
        <v>0</v>
      </c>
      <c r="AN58" s="163">
        <f>IF(ISNUMBER(T49),T49,0)</f>
        <v>1</v>
      </c>
      <c r="AO58" s="163">
        <f>IF(ISNUMBER(T47),T47,0)</f>
        <v>0</v>
      </c>
      <c r="AP58" s="151">
        <f>IF(AD45&lt;&gt;"FOUT",IF(AL58&gt;AM57,3,IF(AL58=AM57,1,0)),0)+IF(AD49&lt;&gt;"FOUT",IF(AN58&gt;AM59,3,IF(AN58=AM59,1,0)),0)+IF(AD47&lt;&gt;"FOUT",IF(AO58&gt;AM60,3,IF(AO58=AM60,1,0)),0)</f>
        <v>1</v>
      </c>
      <c r="AQ58" s="153">
        <f>SUM(AL58:AO58)</f>
        <v>1</v>
      </c>
      <c r="AR58" s="152">
        <f>SUM(AM57:AM60)</f>
        <v>4</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14970103500002</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3</v>
      </c>
      <c r="AJ59" s="455" t="str">
        <f ca="1">VLOOKUP(AH59,Voorblad!$X$67:$Z$98,2,FALSE)</f>
        <v>Portugal</v>
      </c>
      <c r="AK59" s="110" t="str">
        <f ca="1">VLOOKUP(AH59,Voorblad!$X$67:$Z$98,3,FALSE)</f>
        <v>PT</v>
      </c>
      <c r="AL59" s="207">
        <f>IF(ISNUMBER(V48),V48,0)</f>
        <v>2</v>
      </c>
      <c r="AM59" s="163">
        <f>IF(ISNUMBER(V49),V49,0)</f>
        <v>2</v>
      </c>
      <c r="AN59" s="202">
        <v>0</v>
      </c>
      <c r="AO59" s="163">
        <f>IF(ISNUMBER(T46),T46,0)</f>
        <v>2</v>
      </c>
      <c r="AP59" s="151">
        <f>IF(AD48&lt;&gt;"FOUT",IF(AL59&gt;AN57,3,IF(AL59=AN57,1,0)),0)+IF(AD49&lt;&gt;"FOUT",IF(AM59&gt;AN58,3,IF(AM59=AN58,1,0)),0)+IF(AD46&lt;&gt;"FOUT",IF(AO59&gt;AN60,3,IF(AO59=AN60,1,0)),0)</f>
        <v>9</v>
      </c>
      <c r="AQ59" s="153">
        <f>SUM(AL59:AO59)</f>
        <v>6</v>
      </c>
      <c r="AR59" s="152">
        <f>SUM(AN57:AN60)</f>
        <v>2</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95040603500003</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1</v>
      </c>
      <c r="AJ60" s="465" t="str">
        <f ca="1">VLOOKUP(AH60,Voorblad!$X$67:$Z$98,2,FALSE)</f>
        <v>Czech Republic</v>
      </c>
      <c r="AK60" s="149" t="str">
        <f ca="1">VLOOKUP(AH60,Voorblad!$X$67:$Z$98,3,FALSE)</f>
        <v>CZ</v>
      </c>
      <c r="AL60" s="208">
        <f>IF(ISNUMBER(T50),T50,0)</f>
        <v>2</v>
      </c>
      <c r="AM60" s="209">
        <f>IF(ISNUMBER(V47),V47,0)</f>
        <v>0</v>
      </c>
      <c r="AN60" s="209">
        <f>IF(ISNUMBER(V46),V46,0)</f>
        <v>0</v>
      </c>
      <c r="AO60" s="210">
        <v>0</v>
      </c>
      <c r="AP60" s="428">
        <f>IF(AD50&lt;&gt;"FOUT",IF(AL60&gt;AO57,3,IF(AL60=AO57,1,0)),0)+IF(AD47&lt;&gt;"FOUT",IF(AM60&gt;AO58,3,IF(AM60=AO58,1,0)),0)+IF(AD46&lt;&gt;"FOUT",IF(AN60&gt;AO59,3,IF(AN60=AO59,1,0)),0)</f>
        <v>4</v>
      </c>
      <c r="AQ60" s="148">
        <f>SUM(AL60:AO60)</f>
        <v>2</v>
      </c>
      <c r="AR60" s="147">
        <f>SUM(AO57:AO60)</f>
        <v>2</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45000203500001</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Group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Group A</v>
      </c>
      <c r="AA66" s="190" t="str">
        <f ca="1">N23</f>
        <v>Group B</v>
      </c>
      <c r="AB66" s="190" t="str">
        <f ca="1">D33</f>
        <v>Group C</v>
      </c>
      <c r="AC66" s="190" t="str">
        <f ca="1">N33</f>
        <v>Group D</v>
      </c>
      <c r="AD66" s="190" t="str">
        <f ca="1">D43</f>
        <v>Group E</v>
      </c>
      <c r="AE66" s="190" t="str">
        <f ca="1">N43</f>
        <v>Group F</v>
      </c>
      <c r="AF66" s="477" t="str">
        <f ca="1">D53</f>
        <v>Group G</v>
      </c>
      <c r="AG66" s="477" t="str">
        <f ca="1">N53</f>
        <v>Group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5</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5</v>
      </c>
      <c r="AB69" s="189">
        <f>LARGE($AP$30:$AP$33,2)</f>
        <v>4</v>
      </c>
      <c r="AC69" s="189">
        <f>LARGE($AP$39:$AP$42,2)</f>
        <v>5</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2</v>
      </c>
      <c r="AA70" s="189">
        <f>LARGE($AP$21:$AP$24,3)</f>
        <v>4</v>
      </c>
      <c r="AB70" s="189">
        <f>LARGE($AP$30:$AP$33,3)</f>
        <v>2</v>
      </c>
      <c r="AC70" s="189">
        <f>LARGE($AP$39:$AP$42,3)</f>
        <v>5</v>
      </c>
      <c r="AD70" s="189">
        <f>LARGE($AP$48:$AP$51,3)</f>
        <v>1</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0</v>
      </c>
      <c r="AD71" s="189">
        <f>LARGE($AP$48:$AP$51,4)</f>
        <v>1</v>
      </c>
      <c r="AE71" s="189">
        <f>LARGE($AP$57:$AP$60,4)</f>
        <v>1</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D1D2D4</v>
      </c>
      <c r="AD72" s="189" t="str">
        <f ca="1">IF(AD$67,IF(AD68=$AP$48,$AH$48,"")&amp;IF(AD68=$AP$49,$AH$49,"")&amp;IF(AD68=$AP$50,$AH$50,"")&amp;IF(AD68=$AP$51,$AH$51,""),"")</f>
        <v>E2</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A3</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D1D2D4</v>
      </c>
      <c r="AD73" s="189" t="str">
        <f ca="1">IF(AD$67,IF(AD69=$AP$48,$AH$48,"")&amp;IF(AD69=$AP$49,$AH$49,"")&amp;IF(AD69=$AP$50,$AH$50,"")&amp;IF(AD69=$AP$51,$AH$51,""),"")</f>
        <v>E1</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3"/>
      <c r="AI73" s="1111"/>
      <c r="AJ73" s="445" t="str">
        <f ca="1">N53</f>
        <v>Group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A4</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D1D2D4</v>
      </c>
      <c r="AD74" s="189" t="str">
        <f ca="1">IF(AD$67,IF(AD70=$AP$48,$AH$48,"")&amp;IF(AD70=$AP$49,$AH$49,"")&amp;IF(AD70=$AP$50,$AH$50,"")&amp;IF(AD70=$AP$51,$AH$51,""),"")</f>
        <v>E3E4</v>
      </c>
      <c r="AE74" s="189" t="str">
        <f ca="1">IF(AE$67=6,IF(AE70=$AP$57,$AH$57,"")&amp;IF(AE70=$AP$58,$AH$58,"")&amp;IF(AE70=$AP$59,$AH$59,"")&amp;IF(AE70=$AP$60,$AH$60,""),"")</f>
        <v>F1</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D3</v>
      </c>
      <c r="AD75" s="189" t="str">
        <f ca="1">IF(AD$67,IF(AD71=$AP$48,$AH$48,"")&amp;IF(AD71=$AP$49,$AH$49,"")&amp;IF(AD71=$AP$50,$AH$50,"")&amp;IF(AD71=$AP$51,$AH$51,""),"")</f>
        <v>E3E4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Germany</v>
      </c>
      <c r="AA76" s="478" t="str">
        <f ca="1">IF(LEN(AA72)&gt;=2,VLOOKUP(LEFT(AA72,2),Voorblad!$X$67:$Y$98,2),"")&amp;IF(LEN(AA72)&gt;=4," / "&amp;VLOOKUP(RIGHT(LEFT(AA72,4),2),Voorblad!$X$67:$Y$98,2),"")&amp;IF(LEN(AA72)&gt;=6," / "&amp;VLOOKUP(RIGHT(LEFT(AA72,6),2),Voorblad!$X$67:$Y$98,2),"")&amp;IF(LEN(AA72)&gt;=8," / "&amp;VLOOKUP(RIGHT(LEFT(AA72,8),2),Voorblad!$X$67:$Y$98,2),"")</f>
        <v>Spain</v>
      </c>
      <c r="AB76" s="478" t="str">
        <f ca="1">IF(LEN(AB72)&gt;=2,VLOOKUP(LEFT(AB72,2),Voorblad!$X$67:$Y$98,2),"")&amp;IF(LEN(AB72)&gt;=4," / "&amp;VLOOKUP(RIGHT(LEFT(AB72,4),2),Voorblad!$X$67:$Y$98,2),"")&amp;IF(LEN(AB72)&gt;=6," / "&amp;VLOOKUP(RIGHT(LEFT(AB72,6),2),Voorblad!$X$67:$Y$98,2),"")&amp;IF(LEN(AB72)&gt;=8," / "&amp;VLOOKUP(RIGHT(LEFT(AB72,8),2),Voorblad!$X$67:$Y$98,2),"")</f>
        <v>England</v>
      </c>
      <c r="AC76" s="478" t="str">
        <f ca="1">IF(LEN(AC72)&gt;=2,VLOOKUP(LEFT(AC72,2),Voorblad!$X$67:$Y$98,2),"")&amp;IF(LEN(AC72)&gt;=4," / "&amp;VLOOKUP(RIGHT(LEFT(AC72,4),2),Voorblad!$X$67:$Y$98,2),"")&amp;IF(LEN(AC72)&gt;=6," / "&amp;VLOOKUP(RIGHT(LEFT(AC72,6),2),Voorblad!$X$67:$Y$98,2),"")&amp;IF(LEN(AC72)&gt;=8," / "&amp;VLOOKUP(RIGHT(LEFT(AC72,8),2),Voorblad!$X$67:$Y$98,2),"")</f>
        <v>Poland / Netherlands / France</v>
      </c>
      <c r="AD76" s="478" t="str">
        <f ca="1">IF(LEN(AD72)&gt;=2,VLOOKUP(LEFT(AD72,2),Voorblad!$X$67:$Y$98,2),"")&amp;IF(LEN(AD72)&gt;=4," / "&amp;VLOOKUP(RIGHT(LEFT(AD72,4),2),Voorblad!$X$67:$Y$98,2),"")&amp;IF(LEN(AD72)&gt;=6," / "&amp;VLOOKUP(RIGHT(LEFT(AD72,6),2),Voorblad!$X$67:$Y$98,2),"")&amp;IF(LEN(AD72)&gt;=8," / "&amp;VLOOKUP(RIGHT(LEFT(AD72,8),2),Voorblad!$X$67:$Y$98,2),"")</f>
        <v>Slovakia</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Hungary</v>
      </c>
      <c r="AA77" s="478" t="str">
        <f ca="1">IF(LEN(AA73)&gt;=2,VLOOKUP(LEFT(AA73,2),Voorblad!$X$67:$Y$98,2),"")&amp;IF(LEN(AA73)&gt;=4," / "&amp;VLOOKUP(RIGHT(LEFT(AA73,4),2),Voorblad!$X$67:$Y$98,2),"")&amp;IF(LEN(AA73)&gt;=6," / "&amp;VLOOKUP(RIGHT(LEFT(AA73,6),2),Voorblad!$X$67:$Y$98,2),"")&amp;IF(LEN(AA73)&gt;=8," / "&amp;VLOOKUP(RIGHT(LEFT(AA73,8),2),Voorblad!$X$67:$Y$98,2),"")</f>
        <v>Italy</v>
      </c>
      <c r="AB77" s="478" t="str">
        <f ca="1">IF(LEN(AB73)&gt;=2,VLOOKUP(LEFT(AB73,2),Voorblad!$X$67:$Y$98,2),"")&amp;IF(LEN(AB73)&gt;=4," / "&amp;VLOOKUP(RIGHT(LEFT(AB73,4),2),Voorblad!$X$67:$Y$98,2),"")&amp;IF(LEN(AB73)&gt;=6," / "&amp;VLOOKUP(RIGHT(LEFT(AB73,6),2),Voorblad!$X$67:$Y$98,2),"")&amp;IF(LEN(AB73)&gt;=8," / "&amp;VLOOKUP(RIGHT(LEFT(AB73,8),2),Voorblad!$X$67:$Y$98,2),"")</f>
        <v>Denmark</v>
      </c>
      <c r="AC77" s="478" t="str">
        <f ca="1">IF(LEN(AC73)&gt;=2,VLOOKUP(LEFT(AC73,2),Voorblad!$X$67:$Y$98,2),"")&amp;IF(LEN(AC73)&gt;=4," / "&amp;VLOOKUP(RIGHT(LEFT(AC73,4),2),Voorblad!$X$67:$Y$98,2),"")&amp;IF(LEN(AC73)&gt;=6," / "&amp;VLOOKUP(RIGHT(LEFT(AC73,6),2),Voorblad!$X$67:$Y$98,2),"")&amp;IF(LEN(AC73)&gt;=8," / "&amp;VLOOKUP(RIGHT(LEFT(AC73,8),2),Voorblad!$X$67:$Y$98,2),"")</f>
        <v>Poland / Netherlands / France</v>
      </c>
      <c r="AD77" s="478" t="str">
        <f ca="1">IF(LEN(AD73)&gt;=2,VLOOKUP(LEFT(AD73,2),Voorblad!$X$67:$Y$98,2),"")&amp;IF(LEN(AD73)&gt;=4," / "&amp;VLOOKUP(RIGHT(LEFT(AD73,4),2),Voorblad!$X$67:$Y$98,2),"")&amp;IF(LEN(AD73)&gt;=6," / "&amp;VLOOKUP(RIGHT(LEFT(AD73,6),2),Voorblad!$X$67:$Y$98,2),"")&amp;IF(LEN(AD73)&gt;=8," / "&amp;VLOOKUP(RIGHT(LEFT(AD73,8),2),Voorblad!$X$67:$Y$98,2),"")</f>
        <v>Belgium</v>
      </c>
      <c r="AE77" s="478" t="str">
        <f ca="1">IF(LEN(AE73)&gt;=2,VLOOKUP(LEFT(AE73,2),Voorblad!$X$67:$Y$98,2),"")&amp;IF(LEN(AE73)&gt;=4," / "&amp;VLOOKUP(RIGHT(LEFT(AE73,4),2),Voorblad!$X$67:$Y$98,2),"")&amp;IF(LEN(AE73)&gt;=6," / "&amp;VLOOKUP(RIGHT(LEFT(AE73,6),2),Voorblad!$X$67:$Y$98,2),"")&amp;IF(LEN(AE73)&gt;=8," / "&amp;VLOOKUP(RIGHT(LEFT(AE73,8),2),Voorblad!$X$67:$Y$98,2),"")</f>
        <v>Czech Republic</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Switzerland</v>
      </c>
      <c r="AA78" s="478" t="str">
        <f ca="1">IF(LEN(AA74)&gt;=2,VLOOKUP(LEFT(AA74,2),Voorblad!$X$67:$Y$98,2),"")&amp;IF(LEN(AA74)&gt;=4," / "&amp;VLOOKUP(RIGHT(LEFT(AA74,4),2),Voorblad!$X$67:$Y$98,2),"")&amp;IF(LEN(AA74)&gt;=6," / "&amp;VLOOKUP(RIGHT(LEFT(AA74,6),2),Voorblad!$X$67:$Y$98,2),"")&amp;IF(LEN(AA74)&gt;=8," / "&amp;VLOOKUP(RIGHT(LEFT(AA74,8),2),Voorblad!$X$67:$Y$98,2),"")</f>
        <v>Croatia</v>
      </c>
      <c r="AB78" s="478" t="str">
        <f ca="1">IF(LEN(AB74)&gt;=2,VLOOKUP(LEFT(AB74,2),Voorblad!$X$67:$Y$98,2),"")&amp;IF(LEN(AB74)&gt;=4," / "&amp;VLOOKUP(RIGHT(LEFT(AB74,4),2),Voorblad!$X$67:$Y$98,2),"")&amp;IF(LEN(AB74)&gt;=6," / "&amp;VLOOKUP(RIGHT(LEFT(AB74,6),2),Voorblad!$X$67:$Y$98,2),"")&amp;IF(LEN(AB74)&gt;=8," / "&amp;VLOOKUP(RIGHT(LEFT(AB74,8),2),Voorblad!$X$67:$Y$98,2),"")</f>
        <v>Serbia</v>
      </c>
      <c r="AC78" s="478" t="str">
        <f ca="1">IF(LEN(AC74)&gt;=2,VLOOKUP(LEFT(AC74,2),Voorblad!$X$67:$Y$98,2),"")&amp;IF(LEN(AC74)&gt;=4," / "&amp;VLOOKUP(RIGHT(LEFT(AC74,4),2),Voorblad!$X$67:$Y$98,2),"")&amp;IF(LEN(AC74)&gt;=6," / "&amp;VLOOKUP(RIGHT(LEFT(AC74,6),2),Voorblad!$X$67:$Y$98,2),"")&amp;IF(LEN(AC74)&gt;=8," / "&amp;VLOOKUP(RIGHT(LEFT(AC74,8),2),Voorblad!$X$67:$Y$98,2),"")</f>
        <v>Poland / Netherlands / France</v>
      </c>
      <c r="AD78" s="478" t="str">
        <f ca="1">IF(LEN(AD74)&gt;=2,VLOOKUP(LEFT(AD74,2),Voorblad!$X$67:$Y$98,2),"")&amp;IF(LEN(AD74)&gt;=4," / "&amp;VLOOKUP(RIGHT(LEFT(AD74,4),2),Voorblad!$X$67:$Y$98,2),"")&amp;IF(LEN(AD74)&gt;=6," / "&amp;VLOOKUP(RIGHT(LEFT(AD74,6),2),Voorblad!$X$67:$Y$98,2),"")&amp;IF(LEN(AD74)&gt;=8," / "&amp;VLOOKUP(RIGHT(LEFT(AD74,8),2),Voorblad!$X$67:$Y$98,2),"")</f>
        <v>Romania / Ukraine</v>
      </c>
      <c r="AE78" s="478" t="str">
        <f ca="1">IF(LEN(AE74)&gt;=2,VLOOKUP(LEFT(AE74,2),Voorblad!$X$67:$Y$98,2),"")&amp;IF(LEN(AE74)&gt;=4," / "&amp;VLOOKUP(RIGHT(LEFT(AE74,4),2),Voorblad!$X$67:$Y$98,2),"")&amp;IF(LEN(AE74)&gt;=6," / "&amp;VLOOKUP(RIGHT(LEFT(AE74,6),2),Voorblad!$X$67:$Y$98,2),"")&amp;IF(LEN(AE74)&gt;=8," / "&amp;VLOOKUP(RIGHT(LEFT(AE74,8),2),Voorblad!$X$67:$Y$98,2),"")</f>
        <v>Turkey</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Scotland</v>
      </c>
      <c r="AA79" s="478" t="str">
        <f ca="1">IF(LEN(AA75)&gt;=2,VLOOKUP(LEFT(AA75,2),Voorblad!$X$67:$Y$98,2),"")&amp;IF(LEN(AA75)&gt;=4," / "&amp;VLOOKUP(RIGHT(LEFT(AA75,4),2),Voorblad!$X$67:$Y$98,2),"")&amp;IF(LEN(AA75)&gt;=6," / "&amp;VLOOKUP(RIGHT(LEFT(AA75,6),2),Voorblad!$X$67:$Y$98,2),"")&amp;IF(LEN(AA75)&gt;=8," / "&amp;VLOOKUP(RIGHT(LEFT(AA75,8),2),Voorblad!$X$67:$Y$98,2),"")</f>
        <v>Albania</v>
      </c>
      <c r="AB79" s="478" t="str">
        <f ca="1">IF(LEN(AB75)&gt;=2,VLOOKUP(LEFT(AB75,2),Voorblad!$X$67:$Y$98,2),"")&amp;IF(LEN(AB75)&gt;=4," / "&amp;VLOOKUP(RIGHT(LEFT(AB75,4),2),Voorblad!$X$67:$Y$98,2),"")&amp;IF(LEN(AB75)&gt;=6," / "&amp;VLOOKUP(RIGHT(LEFT(AB75,6),2),Voorblad!$X$67:$Y$98,2),"")&amp;IF(LEN(AB75)&gt;=8," / "&amp;VLOOKUP(RIGHT(LEFT(AB75,8),2),Voorblad!$X$67:$Y$98,2),"")</f>
        <v>Slovenia</v>
      </c>
      <c r="AC79" s="478" t="str">
        <f ca="1">IF(LEN(AC75)&gt;=2,VLOOKUP(LEFT(AC75,2),Voorblad!$X$67:$Y$98,2),"")&amp;IF(LEN(AC75)&gt;=4," / "&amp;VLOOKUP(RIGHT(LEFT(AC75,4),2),Voorblad!$X$67:$Y$98,2),"")&amp;IF(LEN(AC75)&gt;=6," / "&amp;VLOOKUP(RIGHT(LEFT(AC75,6),2),Voorblad!$X$67:$Y$98,2),"")&amp;IF(LEN(AC75)&gt;=8," / "&amp;VLOOKUP(RIGHT(LEFT(AC75,8),2),Voorblad!$X$67:$Y$98,2),"")</f>
        <v>Austria</v>
      </c>
      <c r="AD79" s="478" t="str">
        <f ca="1">IF(LEN(AD75)&gt;=2,VLOOKUP(LEFT(AD75,2),Voorblad!$X$67:$Y$98,2),"")&amp;IF(LEN(AD75)&gt;=4," / "&amp;VLOOKUP(RIGHT(LEFT(AD75,4),2),Voorblad!$X$67:$Y$98,2),"")&amp;IF(LEN(AD75)&gt;=6," / "&amp;VLOOKUP(RIGHT(LEFT(AD75,6),2),Voorblad!$X$67:$Y$98,2),"")&amp;IF(LEN(AD75)&gt;=8," / "&amp;VLOOKUP(RIGHT(LEFT(AD75,8),2),Voorblad!$X$67:$Y$98,2),"")</f>
        <v>Romania / Ukraine</v>
      </c>
      <c r="AE79" s="478" t="str">
        <f ca="1">IF(LEN(AE75)&gt;=2,VLOOKUP(LEFT(AE75,2),Voorblad!$X$67:$Y$98,2),"")&amp;IF(LEN(AE75)&gt;=4," / "&amp;VLOOKUP(RIGHT(LEFT(AE75,4),2),Voorblad!$X$67:$Y$98,2),"")&amp;IF(LEN(AE75)&gt;=6," / "&amp;VLOOKUP(RIGHT(LEFT(AE75,6),2),Voorblad!$X$67:$Y$98,2),"")&amp;IF(LEN(AE75)&gt;=8," / "&amp;VLOOKUP(RIGHT(LEFT(AE75,8),2),Voorblad!$X$67:$Y$98,2),"")</f>
        <v>Georgia</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B4D3E1B2F4C2C4D4F2A1A3B3D2D1F3E3A2C3E2C1B1A4F1E4G1G2G3G4H1H2H3H4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Group A</v>
      </c>
      <c r="AK83" s="612">
        <f t="shared" ref="AK83:AK90" ca="1" si="41">FIND(RIGHT($AJ83,1),$AZ$82)</f>
        <v>19</v>
      </c>
      <c r="AL83" s="612">
        <f t="shared" ref="AL83:AN90" ca="1" si="42">FIND(RIGHT($AJ83,1),$AZ$82,AK83+1)</f>
        <v>21</v>
      </c>
      <c r="AM83" s="612">
        <f t="shared" ca="1" si="42"/>
        <v>33</v>
      </c>
      <c r="AN83" s="612">
        <f t="shared" ca="1" si="42"/>
        <v>43</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ariadnamitja@gmail.com</v>
      </c>
      <c r="AB84" s="511"/>
      <c r="AC84" s="511"/>
      <c r="AD84" s="511"/>
      <c r="AE84" s="511"/>
      <c r="AF84" s="511"/>
      <c r="AG84" s="511"/>
      <c r="AH84" s="64"/>
      <c r="AI84" s="64"/>
      <c r="AJ84" s="614" t="str">
        <f ca="1">AJ19</f>
        <v>Group B</v>
      </c>
      <c r="AK84" s="612">
        <f t="shared" ca="1" si="41"/>
        <v>1</v>
      </c>
      <c r="AL84" s="612">
        <f t="shared" ca="1" si="42"/>
        <v>7</v>
      </c>
      <c r="AM84" s="612">
        <f t="shared" ca="1" si="42"/>
        <v>23</v>
      </c>
      <c r="AN84" s="612">
        <f t="shared" ca="1" si="42"/>
        <v>41</v>
      </c>
      <c r="AO84" s="64"/>
      <c r="AP84" s="406" t="str">
        <f t="shared" ref="AP84:AP90" ca="1" si="43">RIGHT(LEFT($AZ$82,AK84+1),2)</f>
        <v>B4</v>
      </c>
      <c r="AQ84" s="406" t="str">
        <f t="shared" ref="AQ84:AQ90" ca="1" si="44">RIGHT(LEFT($AZ$82,AL84+1),2)</f>
        <v>B2</v>
      </c>
      <c r="AR84" s="406" t="str">
        <f t="shared" ref="AR84:AR90" ca="1" si="45">RIGHT(LEFT($AZ$82,AM84+1),2)</f>
        <v>B3</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2</v>
      </c>
      <c r="AW84" s="263">
        <f t="shared" ref="AW84:AW90" ca="1" si="49">IF($AP84=RIGHT($AJ84,1)&amp;"3",1,IF($AQ84=RIGHT($AJ84,1)&amp;"3",2,IF($AR84=RIGHT($AJ84,1)&amp;"3",3,IF($AS84=RIGHT($AJ84,1)&amp;"3",4,5))))</f>
        <v>3</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Group C</v>
      </c>
      <c r="AK85" s="612">
        <f t="shared" ca="1" si="41"/>
        <v>11</v>
      </c>
      <c r="AL85" s="612">
        <f t="shared" ca="1" si="42"/>
        <v>13</v>
      </c>
      <c r="AM85" s="612">
        <f t="shared" ca="1" si="42"/>
        <v>35</v>
      </c>
      <c r="AN85" s="612">
        <f t="shared" ca="1" si="42"/>
        <v>39</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Group D</v>
      </c>
      <c r="AK86" s="612">
        <f t="shared" ca="1" si="41"/>
        <v>3</v>
      </c>
      <c r="AL86" s="612">
        <f t="shared" ca="1" si="42"/>
        <v>15</v>
      </c>
      <c r="AM86" s="612">
        <f t="shared" ca="1" si="42"/>
        <v>25</v>
      </c>
      <c r="AN86" s="612">
        <f t="shared" ca="1" si="42"/>
        <v>27</v>
      </c>
      <c r="AO86" s="64"/>
      <c r="AP86" s="406" t="str">
        <f t="shared" ca="1" si="43"/>
        <v>D3</v>
      </c>
      <c r="AQ86" s="406" t="str">
        <f t="shared" ca="1" si="44"/>
        <v>D4</v>
      </c>
      <c r="AR86" s="406" t="str">
        <f t="shared" ca="1" si="45"/>
        <v>D2</v>
      </c>
      <c r="AS86" s="406" t="str">
        <f t="shared" ca="1" si="46"/>
        <v>D1</v>
      </c>
      <c r="AT86" s="232"/>
      <c r="AU86" s="263">
        <f t="shared" ca="1" si="47"/>
        <v>4</v>
      </c>
      <c r="AV86" s="263">
        <f t="shared" ca="1" si="48"/>
        <v>3</v>
      </c>
      <c r="AW86" s="263">
        <f t="shared" ca="1" si="49"/>
        <v>1</v>
      </c>
      <c r="AX86" s="263">
        <f t="shared" ca="1" si="50"/>
        <v>2</v>
      </c>
      <c r="AY86" s="232"/>
      <c r="AZ86" s="232"/>
      <c r="BA86" s="232"/>
    </row>
    <row r="87" spans="3:53" x14ac:dyDescent="0.25">
      <c r="Y87" s="75"/>
      <c r="Z87" s="197" t="s">
        <v>479</v>
      </c>
      <c r="AA87" s="198">
        <f>IF(LEN(AA84)&lt;10,LEN(AA84)&amp;"#",LEN(AA84))</f>
        <v>22</v>
      </c>
      <c r="AB87" s="198"/>
      <c r="AC87" s="513">
        <f>IF(AC86="GOED",SEARCH("@",$AA$84),"nvt")</f>
        <v>13</v>
      </c>
      <c r="AD87" s="513" t="str">
        <f>IF(AC87="nvt","nvt",RIGHT(AA84,LEN(AA84)-AC87))</f>
        <v>gmail.com</v>
      </c>
      <c r="AE87" s="89" t="s">
        <v>322</v>
      </c>
      <c r="AF87" s="89"/>
      <c r="AG87" s="89"/>
      <c r="AH87" s="64"/>
      <c r="AI87" s="64"/>
      <c r="AJ87" s="614" t="str">
        <f ca="1">AJ46</f>
        <v>Group E</v>
      </c>
      <c r="AK87" s="612">
        <f t="shared" ca="1" si="41"/>
        <v>5</v>
      </c>
      <c r="AL87" s="612">
        <f t="shared" ca="1" si="42"/>
        <v>31</v>
      </c>
      <c r="AM87" s="612">
        <f t="shared" ca="1" si="42"/>
        <v>37</v>
      </c>
      <c r="AN87" s="612">
        <f t="shared" ca="1" si="42"/>
        <v>47</v>
      </c>
      <c r="AO87" s="64"/>
      <c r="AP87" s="406" t="str">
        <f t="shared" ca="1" si="43"/>
        <v>E1</v>
      </c>
      <c r="AQ87" s="406" t="str">
        <f t="shared" ca="1" si="44"/>
        <v>E3</v>
      </c>
      <c r="AR87" s="406" t="str">
        <f t="shared" ca="1" si="45"/>
        <v>E2</v>
      </c>
      <c r="AS87" s="406" t="str">
        <f t="shared" ca="1" si="46"/>
        <v>E4</v>
      </c>
      <c r="AT87" s="232"/>
      <c r="AU87" s="263">
        <f t="shared" ca="1" si="47"/>
        <v>1</v>
      </c>
      <c r="AV87" s="263">
        <f t="shared" ca="1" si="48"/>
        <v>3</v>
      </c>
      <c r="AW87" s="263">
        <f t="shared" ca="1" si="49"/>
        <v>2</v>
      </c>
      <c r="AX87" s="263">
        <f t="shared" ca="1" si="50"/>
        <v>4</v>
      </c>
      <c r="AY87" s="232"/>
      <c r="AZ87" s="232"/>
      <c r="BA87" s="232"/>
    </row>
    <row r="88" spans="3:53" x14ac:dyDescent="0.25">
      <c r="Y88" s="89"/>
      <c r="Z88" s="197" t="s">
        <v>480</v>
      </c>
      <c r="AA88" s="1146" t="str">
        <f>"|"&amp;AA84&amp;AA87</f>
        <v>|ariadnamitja@gmail.com22</v>
      </c>
      <c r="AB88" s="1147"/>
      <c r="AC88" s="1147"/>
      <c r="AD88" s="1147"/>
      <c r="AE88" s="1148"/>
      <c r="AF88" s="89"/>
      <c r="AG88" s="89"/>
      <c r="AH88" s="64"/>
      <c r="AI88" s="64"/>
      <c r="AJ88" s="614" t="str">
        <f ca="1">AJ55</f>
        <v>Group F</v>
      </c>
      <c r="AK88" s="612">
        <f t="shared" ca="1" si="41"/>
        <v>9</v>
      </c>
      <c r="AL88" s="612">
        <f t="shared" ca="1" si="42"/>
        <v>17</v>
      </c>
      <c r="AM88" s="612">
        <f t="shared" ca="1" si="42"/>
        <v>29</v>
      </c>
      <c r="AN88" s="612">
        <f t="shared" ca="1" si="42"/>
        <v>45</v>
      </c>
      <c r="AO88" s="64"/>
      <c r="AP88" s="406" t="str">
        <f t="shared" ca="1" si="43"/>
        <v>F4</v>
      </c>
      <c r="AQ88" s="406" t="str">
        <f t="shared" ca="1" si="44"/>
        <v>F2</v>
      </c>
      <c r="AR88" s="406" t="str">
        <f t="shared" ca="1" si="45"/>
        <v>F3</v>
      </c>
      <c r="AS88" s="406" t="str">
        <f t="shared" ca="1" si="46"/>
        <v>F1</v>
      </c>
      <c r="AT88" s="232"/>
      <c r="AU88" s="263">
        <f t="shared" ca="1" si="47"/>
        <v>4</v>
      </c>
      <c r="AV88" s="263">
        <f t="shared" ca="1" si="48"/>
        <v>2</v>
      </c>
      <c r="AW88" s="263">
        <f t="shared" ca="1" si="49"/>
        <v>3</v>
      </c>
      <c r="AX88" s="263">
        <f t="shared" ca="1" si="50"/>
        <v>1</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Group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Group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3"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Final Ranking Group</v>
      </c>
      <c r="AM2" s="1033"/>
      <c r="AN2" s="1033"/>
      <c r="AO2" s="1033"/>
      <c r="AP2" s="1033"/>
    </row>
    <row r="3" spans="1:43" ht="15" customHeight="1" x14ac:dyDescent="0.4">
      <c r="B3" s="17"/>
      <c r="C3" s="974"/>
      <c r="D3" s="988" t="str">
        <f ca="1">Taal04!B7&amp;" - "&amp;Taal04!B9</f>
        <v>Excel Participation Form - Final Ranking Group Stage</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Final Ranking Group A to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A3</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Predict the final ranking of the groups and fill this in on this sheet.</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D1E4F1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A4D1E4F1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To help you on your way, you can be given a suggestion based on previous predictions, provided that they have been fully completed. You are not required to follow this suggestion.</v>
      </c>
      <c r="H9" s="1189"/>
      <c r="I9" s="1189"/>
      <c r="J9" s="1189"/>
      <c r="K9" s="1189"/>
      <c r="L9" s="1189"/>
      <c r="M9" s="1189"/>
      <c r="N9" s="1189"/>
      <c r="O9" s="1189"/>
      <c r="P9" s="585"/>
      <c r="Q9" s="60"/>
      <c r="R9" s="39"/>
      <c r="S9" s="165">
        <v>1</v>
      </c>
      <c r="T9" s="75" t="str">
        <f ca="1">Taal04!B34</f>
        <v>always show the suggestions</v>
      </c>
      <c r="U9" s="75"/>
      <c r="V9" s="75"/>
      <c r="W9" s="75"/>
      <c r="X9" s="833" t="str">
        <f>"wedstrijd "&amp;RIGHT(X8,2)*1+3</f>
        <v>wedstrijd 42</v>
      </c>
      <c r="Y9" s="834" t="str">
        <f ca="1">IF(AND(Z28&lt;&gt;1,Z29="GOED"),LOOKUP(Z28,S31:S34,V31:V34),"")</f>
        <v>D4</v>
      </c>
      <c r="Z9" s="834" t="str">
        <f ca="1">IF(AND(Y38&lt;&gt;1,Y39="GOED"),LOOKUP(Y38,S36:S39,V36:V39),"")</f>
        <v>E1</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FINAL RANKING IN THE GROUP BASED ON PREVIOUS PREDICTIONS</v>
      </c>
      <c r="AM9" s="1179"/>
      <c r="AN9" s="1180"/>
      <c r="AO9" s="1167" t="str">
        <f ca="1">Taal04!$B$59</f>
        <v>Points</v>
      </c>
      <c r="AP9" s="1167" t="str">
        <f ca="1">Taal04!$B$60</f>
        <v>Goals for</v>
      </c>
      <c r="AQ9" s="1167" t="str">
        <f ca="1">Taal04!$B$61</f>
        <v>Goals against</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hide suggestions after completion</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do not display the suggestions</v>
      </c>
      <c r="U11" s="75"/>
      <c r="V11" s="75"/>
      <c r="W11" s="75"/>
      <c r="X11" s="833" t="str">
        <f>"wedstrijd "&amp;RIGHT(X10,2)*1+2</f>
        <v>wedstrijd 43</v>
      </c>
      <c r="Y11" s="834" t="str">
        <f ca="1">IF(AND(Y36&lt;&gt;1,Y37="GOED"),LOOKUP(Y36,S36:S39,V36:V39),"")</f>
        <v>E2</v>
      </c>
      <c r="Z11" s="834" t="str">
        <f ca="1">IF(AND(Y20&lt;&gt;1,Y21="GOED"),LOOKUP(Y20,S16:S19,V16:V19),"")&amp;IF(AND(Z20&lt;&gt;1,Z21="GOED"),LOOKUP(Z20,S21:S24,V21:V24),"")&amp;IF(AND(Y30&lt;&gt;1,Y31="GOED"),LOOKUP(Y30,S26:S29,V26:V29),"")&amp;IF(AND(Z30&lt;&gt;1,Z31="GOED"),LOOKUP(Z30,S31:S34,V31:V34),"")</f>
        <v>A4B2C3D1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D2</v>
      </c>
      <c r="Z12" s="834" t="str">
        <f ca="1">IF(AND(Z38&lt;&gt;1,Z39="GOED"),LOOKUP(Z38,S41:S44,V41:V44),"")</f>
        <v>F4</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Each country may only be entered once when predicting the results of the groups.</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Group A</v>
      </c>
      <c r="E14" s="1152"/>
      <c r="F14" s="17"/>
      <c r="G14" s="715"/>
      <c r="H14" s="715"/>
      <c r="I14" s="715"/>
      <c r="J14" s="715"/>
      <c r="K14" s="1152" t="str">
        <f ca="1">Taal04!$B$26&amp;" B"</f>
        <v>Group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DE.HU.CH.SC|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GROUP A</v>
      </c>
      <c r="AC15" s="263" t="str">
        <f ca="1">AB15</f>
        <v>GROUP A</v>
      </c>
      <c r="AD15" s="143"/>
      <c r="AE15" s="187" t="str">
        <f ca="1">AB15</f>
        <v>GROUP A</v>
      </c>
      <c r="AF15" s="143"/>
      <c r="AG15" s="143"/>
      <c r="AH15" s="143"/>
      <c r="AI15" s="218"/>
      <c r="AJ15" s="223"/>
      <c r="AM15" s="601"/>
    </row>
    <row r="16" spans="1:43" s="166" customFormat="1" ht="15" customHeight="1" x14ac:dyDescent="0.25">
      <c r="B16" s="17"/>
      <c r="C16" s="949"/>
      <c r="D16" s="335" t="s">
        <v>212</v>
      </c>
      <c r="E16" s="820" t="s">
        <v>572</v>
      </c>
      <c r="F16" s="587" t="str">
        <f>IF(Y17="LEEG","▼","")</f>
        <v/>
      </c>
      <c r="G16" s="17"/>
      <c r="H16" s="741"/>
      <c r="I16" s="741"/>
      <c r="J16" s="17"/>
      <c r="K16" s="335" t="s">
        <v>212</v>
      </c>
      <c r="L16" s="821" t="s">
        <v>563</v>
      </c>
      <c r="M16" s="587" t="str">
        <f>IF(Z17="LEEG","▼","")</f>
        <v/>
      </c>
      <c r="N16" s="17"/>
      <c r="O16" s="741"/>
      <c r="P16" s="741"/>
      <c r="Q16" s="60"/>
      <c r="R16" s="17"/>
      <c r="S16" s="111">
        <f>S15+1</f>
        <v>2</v>
      </c>
      <c r="T16" s="85" t="str">
        <f ca="1">VLOOKUP(V16,Voorblad!$X$67:$Z$98,2,FALSE)</f>
        <v>Germany</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Germany</v>
      </c>
      <c r="AC16" s="64" t="e">
        <f>#REF!</f>
        <v>#REF!</v>
      </c>
      <c r="AD16" s="143">
        <f ca="1">IF($AC$7=1,VLOOKUP($V16,Groepswedstrijden!$AH$12:$BA$78,20,FALSE),IF($AC$11=1,VLOOKUP($V16,#REF!,20,FALSE),""))</f>
        <v>1</v>
      </c>
      <c r="AE16" s="186" t="str">
        <f ca="1">IF($AC$7=1,VLOOKUP($V16,Groepswedstrijden!$AH$12:$BA$78,3,FALSE),IF($AC$11=1,VLOOKUP($V16,#REF!,3,FALSE),""))</f>
        <v>Germany</v>
      </c>
      <c r="AF16" s="143">
        <f ca="1">IF($AC$7=1,VLOOKUP($V16,Groepswedstrijden!$AH$12:$BA$78,9,FALSE),IF($AC$11=1,VLOOKUP($V16,#REF!,9,FALSE),""))</f>
        <v>9</v>
      </c>
      <c r="AG16" s="143">
        <f ca="1">IF($AC$7=1,VLOOKUP($V16,Groepswedstrijden!$AH$12:$BA$78,10,FALSE),IF($AC$11=1,VLOOKUP($V16,#REF!,10,FALSE),""))</f>
        <v>8</v>
      </c>
      <c r="AH16" s="143">
        <f ca="1">IF($AC$7=1,VLOOKUP($V16,Groepswedstrijden!$AH$12:$BA$78,11,FALSE),IF($AC$11=1,VLOOKUP($V16,#REF!,11,FALSE),""))</f>
        <v>3</v>
      </c>
      <c r="AI16" s="219">
        <f ca="1">IF($AC$7=1,VLOOKUP($V16,Groepswedstrijden!$AH$12:$BA$78,19,FALSE),IF($AC$11=1,VLOOKUP($V16,#REF!,19,FALSE),""))</f>
        <v>95050803500001</v>
      </c>
      <c r="AJ16" s="224">
        <f ca="1">FLOOR(IF($AD16=1,AI16,IF($AD17=1,AI17,IF($AD18=1,AI18,AI19)))/10,1)</f>
        <v>9505080350000</v>
      </c>
      <c r="AL16" s="1173" t="str">
        <f ca="1">AE15</f>
        <v>GROUP A</v>
      </c>
      <c r="AM16" s="336" t="s">
        <v>67</v>
      </c>
      <c r="AN16" s="337" t="str">
        <f ca="1">IF($AD16=1,AE16,IF($AD17=1,AE17,IF($AD18=1,AE18,AE19)))</f>
        <v>Germany</v>
      </c>
      <c r="AO16" s="338">
        <f ca="1">IF($AD16=1,AF16,IF($AD17=1,AF17,IF($AD18=1,AF18,AF19)))</f>
        <v>9</v>
      </c>
      <c r="AP16" s="338">
        <f ca="1">IF($AD16=1,AG16,IF($AD17=1,AG17,IF($AD18=1,AG18,AG19)))</f>
        <v>8</v>
      </c>
      <c r="AQ16" s="338">
        <f ca="1">IF($AD16=1,AH16,IF($AD17=1,AH17,IF($AD18=1,AH18,AH19)))</f>
        <v>3</v>
      </c>
    </row>
    <row r="17" spans="2:43" s="166" customFormat="1" ht="20.100000000000001" customHeight="1" x14ac:dyDescent="0.25">
      <c r="B17" s="17"/>
      <c r="C17" s="949"/>
      <c r="D17" s="1151" t="str">
        <f ca="1">IF($S$12=1,IF($AC$7=1,AB16,IF($AC$11=1,AC16,"")),IF(AND($S$12=2,OR($Y$17="LEEG",$Y$17="ONGELDIG")),IF($AC$7=1,AB16,IF($AC$11=1,AC16,"")),""))</f>
        <v>Germany</v>
      </c>
      <c r="E17" s="1151"/>
      <c r="F17" s="1151"/>
      <c r="G17" s="1151"/>
      <c r="H17" s="1151"/>
      <c r="I17" s="1151"/>
      <c r="J17" s="17"/>
      <c r="K17" s="1151" t="str">
        <f ca="1">IF($S$12=1,IF($AC$7=1,AB21,IF($AC$11=1,AC21,"")),IF(AND($S$12=2,OR($Z$17="LEEG",$Z$17="ONGELDIG")),IF($AC$7=1,AB21,IF($AC$11=1,AC21,"")),""))</f>
        <v>Spain</v>
      </c>
      <c r="L17" s="1151"/>
      <c r="M17" s="1151"/>
      <c r="N17" s="1151"/>
      <c r="O17" s="1151"/>
      <c r="P17" s="1151"/>
      <c r="Q17" s="60"/>
      <c r="R17" s="17"/>
      <c r="S17" s="111">
        <f>S16+1</f>
        <v>3</v>
      </c>
      <c r="T17" s="85" t="str">
        <f ca="1">VLOOKUP(V17,Voorblad!$X$67:$Z$98,2,FALSE)</f>
        <v>Scotland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Hungary</v>
      </c>
      <c r="AC17" s="64" t="e">
        <f>#REF!</f>
        <v>#REF!</v>
      </c>
      <c r="AD17" s="143">
        <f ca="1">IF($AC$7=1,VLOOKUP($V17,Groepswedstrijden!$AH$12:$BA$78,20,FALSE),IF($AC$11=1,VLOOKUP($V17,#REF!,20,FALSE),""))</f>
        <v>4</v>
      </c>
      <c r="AE17" s="186" t="str">
        <f ca="1">IF($AC$7=1,VLOOKUP($V17,Groepswedstrijden!$AH$12:$BA$78,3,FALSE),IF($AC$11=1,VLOOKUP($V17,#REF!,3,FALSE),""))</f>
        <v>Scotland</v>
      </c>
      <c r="AF17" s="143">
        <f ca="1">IF($AC$7=1,VLOOKUP($V17,Groepswedstrijden!$AH$12:$BA$78,9,FALSE),IF($AC$11=1,VLOOKUP($V17,#REF!,9,FALSE),""))</f>
        <v>1</v>
      </c>
      <c r="AG17" s="143">
        <f ca="1">IF($AC$7=1,VLOOKUP($V17,Groepswedstrijden!$AH$12:$BA$78,10,FALSE),IF($AC$11=1,VLOOKUP($V17,#REF!,10,FALSE),""))</f>
        <v>3</v>
      </c>
      <c r="AH17" s="143">
        <f ca="1">IF($AC$7=1,VLOOKUP($V17,Groepswedstrijden!$AH$12:$BA$78,11,FALSE),IF($AC$11=1,VLOOKUP($V17,#REF!,11,FALSE),""))</f>
        <v>6</v>
      </c>
      <c r="AI17" s="219">
        <f ca="1">IF($AC$7=1,VLOOKUP($V17,Groepswedstrijden!$AH$12:$BA$78,19,FALSE),IF($AC$11=1,VLOOKUP($V17,#REF!,19,FALSE),""))</f>
        <v>14970303500003</v>
      </c>
      <c r="AJ17" s="224">
        <f ca="1">FLOOR(IF($AD16=2,AI16,IF($AD17=2,AI17,IF($AD18=2,AI18,AI19)))/10,1)</f>
        <v>4500040350000</v>
      </c>
      <c r="AL17" s="1174"/>
      <c r="AM17" s="339" t="str">
        <f ca="1">IF(AJ17=AJ16,"","2.")</f>
        <v>2.</v>
      </c>
      <c r="AN17" s="340" t="str">
        <f ca="1">IF($AD16=2,AE16,IF($AD17=2,AE17,IF($AD18=2,AE18,AE19)))</f>
        <v>Hungary</v>
      </c>
      <c r="AO17" s="341">
        <f ca="1">IF($AD16=2,AF16,IF($AD17=2,AF17,IF($AD18=2,AF18,AF19)))</f>
        <v>4</v>
      </c>
      <c r="AP17" s="341">
        <f ca="1">IF($AD16=2,AG16,IF($AD17=2,AG17,IF($AD18=2,AG18,AG19)))</f>
        <v>4</v>
      </c>
      <c r="AQ17" s="341">
        <f ca="1">IF($AD16=2,AH16,IF($AD17=2,AH17,IF($AD18=2,AH18,AH19)))</f>
        <v>4</v>
      </c>
    </row>
    <row r="18" spans="2:43" s="166" customFormat="1" ht="15" customHeight="1" x14ac:dyDescent="0.25">
      <c r="B18" s="17"/>
      <c r="C18" s="949"/>
      <c r="D18" s="335" t="s">
        <v>213</v>
      </c>
      <c r="E18" s="820" t="s">
        <v>2192</v>
      </c>
      <c r="F18" s="587" t="str">
        <f>IF(Y19="LEEG","▼","")</f>
        <v/>
      </c>
      <c r="G18" s="17"/>
      <c r="H18" s="17"/>
      <c r="I18" s="17"/>
      <c r="J18" s="17"/>
      <c r="K18" s="335" t="s">
        <v>213</v>
      </c>
      <c r="L18" s="821" t="s">
        <v>2194</v>
      </c>
      <c r="M18" s="587" t="str">
        <f>IF(Z19="LEEG","▼","")</f>
        <v/>
      </c>
      <c r="N18" s="17"/>
      <c r="O18" s="17"/>
      <c r="P18" s="17"/>
      <c r="Q18" s="60"/>
      <c r="R18" s="17"/>
      <c r="S18" s="111">
        <f>S17+1</f>
        <v>4</v>
      </c>
      <c r="T18" s="85" t="str">
        <f ca="1">VLOOKUP(V18,Voorblad!$X$67:$Z$98,2,FALSE)</f>
        <v>Hungary</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4</v>
      </c>
      <c r="Z18" s="144">
        <f>IF(ISBLANK(L18),1,IF(SUBSTITUTE(W21,L18,"#")&lt;&gt;W21,2,IF(SUBSTITUTE(W22,L18,"#")&lt;&gt;W22,3,IF(SUBSTITUTE(W23,L18,"#")&lt;&gt;W23,4,IF(SUBSTITUTE(W24,L18,"#")&lt;&gt;W24,5,6)))))</f>
        <v>4</v>
      </c>
      <c r="AA18" s="263" t="str">
        <f ca="1">RIGHT(V18,1)</f>
        <v>3</v>
      </c>
      <c r="AB18" s="265" t="str">
        <f ca="1">Groepswedstrijden!Z78</f>
        <v>Switzerland</v>
      </c>
      <c r="AC18" s="64" t="e">
        <f>#REF!</f>
        <v>#REF!</v>
      </c>
      <c r="AD18" s="143">
        <f ca="1">IF($AC$7=1,VLOOKUP($V18,Groepswedstrijden!$AH$12:$BA$78,20,FALSE),IF($AC$11=1,VLOOKUP($V18,#REF!,20,FALSE),""))</f>
        <v>2</v>
      </c>
      <c r="AE18" s="186" t="str">
        <f ca="1">IF($AC$7=1,VLOOKUP($V18,Groepswedstrijden!$AH$12:$BA$78,3,FALSE),IF($AC$11=1,VLOOKUP($V18,#REF!,3,FALSE),""))</f>
        <v>Hungary</v>
      </c>
      <c r="AF18" s="143">
        <f ca="1">IF($AC$7=1,VLOOKUP($V18,Groepswedstrijden!$AH$12:$BA$78,9,FALSE),IF($AC$11=1,VLOOKUP($V18,#REF!,9,FALSE),""))</f>
        <v>4</v>
      </c>
      <c r="AG18" s="143">
        <f ca="1">IF($AC$7=1,VLOOKUP($V18,Groepswedstrijden!$AH$12:$BA$78,10,FALSE),IF($AC$11=1,VLOOKUP($V18,#REF!,10,FALSE),""))</f>
        <v>4</v>
      </c>
      <c r="AH18" s="143">
        <f ca="1">IF($AC$7=1,VLOOKUP($V18,Groepswedstrijden!$AH$12:$BA$78,11,FALSE),IF($AC$11=1,VLOOKUP($V18,#REF!,11,FALSE),""))</f>
        <v>4</v>
      </c>
      <c r="AI18" s="219">
        <f ca="1">IF($AC$7=1,VLOOKUP($V18,Groepswedstrijden!$AH$12:$BA$78,19,FALSE),IF($AC$11=1,VLOOKUP($V18,#REF!,19,FALSE),""))</f>
        <v>45000403500002</v>
      </c>
      <c r="AJ18" s="224">
        <f ca="1">FLOOR(IF($AD16=3,AI16,IF($AD17=3,AI17,IF($AD18=3,AI18,AI19)))/10,1)</f>
        <v>2498040350000</v>
      </c>
      <c r="AL18" s="1174"/>
      <c r="AM18" s="339" t="str">
        <f ca="1">IF(AJ18=AJ17,"","3.")</f>
        <v>3.</v>
      </c>
      <c r="AN18" s="340" t="str">
        <f ca="1">IF($AD16=3,AE16,IF($AD17=3,AE17,IF($AD18=3,AE18,AE19)))</f>
        <v>Switzerland</v>
      </c>
      <c r="AO18" s="341">
        <f ca="1">IF($AD16=3,AF16,IF($AD17=3,AF17,IF($AD18=3,AF18,AF19)))</f>
        <v>2</v>
      </c>
      <c r="AP18" s="341">
        <f ca="1">IF($AD16=3,AG16,IF($AD17=3,AG17,IF($AD18=3,AG18,AG19)))</f>
        <v>4</v>
      </c>
      <c r="AQ18" s="341">
        <f ca="1">IF($AD16=3,AH16,IF($AD17=3,AH17,IF($AD18=3,AH18,AH19)))</f>
        <v>6</v>
      </c>
    </row>
    <row r="19" spans="2:43" s="166" customFormat="1" ht="20.100000000000001" customHeight="1" x14ac:dyDescent="0.25">
      <c r="B19" s="17"/>
      <c r="C19" s="949"/>
      <c r="D19" s="1151" t="str">
        <f ca="1">IF($S$12=1,IF($AC$7=1,AB17,IF($AC$11=1,AC17,"")),IF(AND($S$12=2,OR($Y$19="LEEG",$Y$19="ONGELDIG")),IF($AC$7=1,AB17,IF($AC$11=1,AC17,"")),""))</f>
        <v>Hungary</v>
      </c>
      <c r="E19" s="1151"/>
      <c r="F19" s="1151"/>
      <c r="G19" s="1151"/>
      <c r="H19" s="1151"/>
      <c r="I19" s="1151"/>
      <c r="J19" s="17"/>
      <c r="K19" s="1151" t="str">
        <f ca="1">IF($S$12=1,IF($AC$7=1,AB22,IF($AC$11=1,AC22,"")),IF(AND($S$12=2,OR($Z$19="LEEG",$Z$19="ONGELDIG")),IF($AC$7=1,AB22,IF($AC$11=1,AC22,"")),""))</f>
        <v>Italy</v>
      </c>
      <c r="L19" s="1151"/>
      <c r="M19" s="1151"/>
      <c r="N19" s="1151"/>
      <c r="O19" s="1151"/>
      <c r="P19" s="1151"/>
      <c r="Q19" s="60"/>
      <c r="R19" s="17"/>
      <c r="S19" s="111">
        <f>S18+1</f>
        <v>5</v>
      </c>
      <c r="T19" s="136" t="str">
        <f ca="1">VLOOKUP(V19,Voorblad!$X$67:$Z$98,2,FALSE)</f>
        <v>Switzerland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Scotland</v>
      </c>
      <c r="AC19" s="64" t="e">
        <f>#REF!</f>
        <v>#REF!</v>
      </c>
      <c r="AD19" s="143">
        <f ca="1">IF($AC$7=1,VLOOKUP($V19,Groepswedstrijden!$AH$12:$BA$78,20,FALSE),IF($AC$11=1,VLOOKUP($V19,#REF!,20,FALSE),""))</f>
        <v>3</v>
      </c>
      <c r="AE19" s="186" t="str">
        <f ca="1">IF($AC$7=1,VLOOKUP($V19,Groepswedstrijden!$AH$12:$BA$78,3,FALSE),IF($AC$11=1,VLOOKUP($V19,#REF!,3,FALSE),""))</f>
        <v>Switzerland</v>
      </c>
      <c r="AF19" s="143">
        <f ca="1">IF($AC$7=1,VLOOKUP($V19,Groepswedstrijden!$AH$12:$BA$78,9,FALSE),IF($AC$11=1,VLOOKUP($V19,#REF!,9,FALSE),""))</f>
        <v>2</v>
      </c>
      <c r="AG19" s="143">
        <f ca="1">IF($AC$7=1,VLOOKUP($V19,Groepswedstrijden!$AH$12:$BA$78,10,FALSE),IF($AC$11=1,VLOOKUP($V19,#REF!,10,FALSE),""))</f>
        <v>4</v>
      </c>
      <c r="AH19" s="143">
        <f ca="1">IF($AC$7=1,VLOOKUP($V19,Groepswedstrijden!$AH$12:$BA$78,11,FALSE),IF($AC$11=1,VLOOKUP($V19,#REF!,11,FALSE),""))</f>
        <v>6</v>
      </c>
      <c r="AI19" s="219">
        <f ca="1">IF($AC$7=1,VLOOKUP($V19,Groepswedstrijden!$AH$12:$BA$78,19,FALSE),IF($AC$11=1,VLOOKUP($V19,#REF!,19,FALSE),""))</f>
        <v>24980403500004</v>
      </c>
      <c r="AJ19" s="224">
        <f ca="1">FLOOR(IF($AD16=4,AI16,IF($AD17=4,AI17,IF($AD18=4,AI18,AI19)))/10,1)</f>
        <v>1497030350000</v>
      </c>
      <c r="AL19" s="1175"/>
      <c r="AM19" s="342" t="str">
        <f ca="1">IF(AJ19=AJ18,"","4.")</f>
        <v>4.</v>
      </c>
      <c r="AN19" s="343" t="str">
        <f ca="1">IF($AD16=4,AE16,IF($AD17=4,AE17,IF($AD18=4,AE18,AE19)))</f>
        <v>Scotland</v>
      </c>
      <c r="AO19" s="344">
        <f ca="1">IF($AD16=4,AF16,IF($AD17=4,AF17,IF($AD18=4,AF18,AF19)))</f>
        <v>1</v>
      </c>
      <c r="AP19" s="344">
        <f ca="1">IF($AD16=4,AG16,IF($AD17=4,AG17,IF($AD18=4,AG18,AG19)))</f>
        <v>3</v>
      </c>
      <c r="AQ19" s="344">
        <f ca="1">IF($AD16=4,AH16,IF($AD17=4,AH17,IF($AD18=4,AH18,AH19)))</f>
        <v>6</v>
      </c>
    </row>
    <row r="20" spans="2:43" ht="15" customHeight="1" x14ac:dyDescent="0.25">
      <c r="B20" s="17"/>
      <c r="C20" s="949"/>
      <c r="D20" s="335" t="s">
        <v>214</v>
      </c>
      <c r="E20" s="820" t="s">
        <v>570</v>
      </c>
      <c r="F20" s="587" t="str">
        <f>IF(Y21="LEEG","▼","")</f>
        <v/>
      </c>
      <c r="G20" s="17"/>
      <c r="H20" s="17"/>
      <c r="I20" s="17"/>
      <c r="J20" s="17"/>
      <c r="K20" s="335" t="s">
        <v>214</v>
      </c>
      <c r="L20" s="821" t="s">
        <v>568</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GROUP B</v>
      </c>
      <c r="AC20" s="263" t="str">
        <f ca="1">AB20</f>
        <v>GROUP B</v>
      </c>
      <c r="AD20" s="143"/>
      <c r="AE20" s="187" t="str">
        <f ca="1">AB20</f>
        <v>GROUP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Switzerland</v>
      </c>
      <c r="E21" s="1151"/>
      <c r="F21" s="1151"/>
      <c r="G21" s="1151"/>
      <c r="H21" s="1151"/>
      <c r="I21" s="1151"/>
      <c r="J21" s="17"/>
      <c r="K21" s="1151" t="str">
        <f ca="1">IF($S$12=1,IF($AC$7=1,AB23,IF($AC$11=1,AC23,"")),IF(AND($S$12=2,OR($Z$21="LEEG",$Z$21="ONGELDIG")),IF($AC$7=1,AB23,IF($AC$11=1,AC23,"")),""))</f>
        <v>Croatia</v>
      </c>
      <c r="L21" s="1151"/>
      <c r="M21" s="1151"/>
      <c r="N21" s="1151"/>
      <c r="O21" s="1151"/>
      <c r="P21" s="1151"/>
      <c r="Q21" s="60"/>
      <c r="R21" s="17"/>
      <c r="S21" s="111">
        <f>S20+1</f>
        <v>2</v>
      </c>
      <c r="T21" s="85" t="str">
        <f ca="1">VLOOKUP(V21,Voorblad!$X$67:$Z$98,2,FALSE)</f>
        <v>Spain</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Spain</v>
      </c>
      <c r="AC21" s="64" t="e">
        <f>#REF!</f>
        <v>#REF!</v>
      </c>
      <c r="AD21" s="143">
        <f ca="1">IF($AC$7=1,VLOOKUP($V21,Groepswedstrijden!$AH$12:$BA$78,20,FALSE),IF($AC$11=1,VLOOKUP($V21,#REF!,20,FALSE),""))</f>
        <v>1</v>
      </c>
      <c r="AE21" s="186" t="str">
        <f ca="1">IF($AC$7=1,VLOOKUP($V21,Groepswedstrijden!$AH$12:$BA$78,3,FALSE),IF($AC$11=1,VLOOKUP($V21,#REF!,3,FALSE),""))</f>
        <v>Spain</v>
      </c>
      <c r="AF21" s="143">
        <f ca="1">IF($AC$7=1,VLOOKUP($V21,Groepswedstrijden!$AH$12:$BA$78,9,FALSE),IF($AC$11=1,VLOOKUP($V21,#REF!,9,FALSE),""))</f>
        <v>7</v>
      </c>
      <c r="AG21" s="143">
        <f ca="1">IF($AC$7=1,VLOOKUP($V21,Groepswedstrijden!$AH$12:$BA$78,10,FALSE),IF($AC$11=1,VLOOKUP($V21,#REF!,10,FALSE),""))</f>
        <v>5</v>
      </c>
      <c r="AH21" s="143">
        <f ca="1">IF($AC$7=1,VLOOKUP($V21,Groepswedstrijden!$AH$12:$BA$78,11,FALSE),IF($AC$11=1,VLOOKUP($V21,#REF!,11,FALSE),""))</f>
        <v>1</v>
      </c>
      <c r="AI21" s="219">
        <f ca="1">IF($AC$7=1,VLOOKUP($V21,Groepswedstrijden!$AH$12:$BA$78,19,FALSE),IF($AC$11=1,VLOOKUP($V21,#REF!,19,FALSE),""))</f>
        <v>75040503500004</v>
      </c>
      <c r="AJ21" s="224">
        <f ca="1">FLOOR(IF($AD21=1,AI21,IF($AD22=1,AI22,IF($AD23=1,AI23,AI24)))/10,1)</f>
        <v>7504050350000</v>
      </c>
      <c r="AL21" s="1173" t="str">
        <f ca="1">AE20</f>
        <v>GROUP B</v>
      </c>
      <c r="AM21" s="336" t="s">
        <v>67</v>
      </c>
      <c r="AN21" s="337" t="str">
        <f ca="1">IF($AD21=1,AE21,IF($AD22=1,AE22,IF($AD23=1,AE23,AE24)))</f>
        <v>Spain</v>
      </c>
      <c r="AO21" s="338">
        <f ca="1">IF($AD21=1,AF21,IF($AD22=1,AF22,IF($AD23=1,AF23,AF24)))</f>
        <v>7</v>
      </c>
      <c r="AP21" s="338">
        <f ca="1">IF($AD21=1,AG21,IF($AD22=1,AG22,IF($AD23=1,AG23,AG24)))</f>
        <v>5</v>
      </c>
      <c r="AQ21" s="338">
        <f ca="1">IF($AD21=1,AH21,IF($AD22=1,AH22,IF($AD23=1,AH23,AH24)))</f>
        <v>1</v>
      </c>
    </row>
    <row r="22" spans="2:43" ht="15" customHeight="1" x14ac:dyDescent="0.25">
      <c r="B22" s="17"/>
      <c r="C22" s="949"/>
      <c r="D22" s="335" t="s">
        <v>215</v>
      </c>
      <c r="E22" s="820" t="s">
        <v>2191</v>
      </c>
      <c r="F22" s="587" t="str">
        <f>IF(Y23="LEEG","▼","")</f>
        <v/>
      </c>
      <c r="G22" s="17"/>
      <c r="H22" s="17"/>
      <c r="I22" s="17"/>
      <c r="J22" s="17"/>
      <c r="K22" s="335" t="s">
        <v>215</v>
      </c>
      <c r="L22" s="821" t="s">
        <v>2196</v>
      </c>
      <c r="M22" s="587" t="str">
        <f>IF(Z23="LEEG","▼","")</f>
        <v/>
      </c>
      <c r="N22" s="17"/>
      <c r="O22" s="17"/>
      <c r="P22" s="17"/>
      <c r="Q22" s="60"/>
      <c r="R22" s="17"/>
      <c r="S22" s="111">
        <f>S21+1</f>
        <v>3</v>
      </c>
      <c r="T22" s="85" t="str">
        <f ca="1">VLOOKUP(V22,Voorblad!$X$67:$Z$98,2,FALSE)</f>
        <v>Croatia</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Italy</v>
      </c>
      <c r="AC22" s="64" t="e">
        <f>#REF!</f>
        <v>#REF!</v>
      </c>
      <c r="AD22" s="143">
        <f ca="1">IF($AC$7=1,VLOOKUP($V22,Groepswedstrijden!$AH$12:$BA$78,20,FALSE),IF($AC$11=1,VLOOKUP($V22,#REF!,20,FALSE),""))</f>
        <v>3</v>
      </c>
      <c r="AE22" s="186" t="str">
        <f ca="1">IF($AC$7=1,VLOOKUP($V22,Groepswedstrijden!$AH$12:$BA$78,3,FALSE),IF($AC$11=1,VLOOKUP($V22,#REF!,3,FALSE),""))</f>
        <v>Croatia</v>
      </c>
      <c r="AF22" s="143">
        <f ca="1">IF($AC$7=1,VLOOKUP($V22,Groepswedstrijden!$AH$12:$BA$78,9,FALSE),IF($AC$11=1,VLOOKUP($V22,#REF!,9,FALSE),""))</f>
        <v>4</v>
      </c>
      <c r="AG22" s="143">
        <f ca="1">IF($AC$7=1,VLOOKUP($V22,Groepswedstrijden!$AH$12:$BA$78,10,FALSE),IF($AC$11=1,VLOOKUP($V22,#REF!,10,FALSE),""))</f>
        <v>4</v>
      </c>
      <c r="AH22" s="143">
        <f ca="1">IF($AC$7=1,VLOOKUP($V22,Groepswedstrijden!$AH$12:$BA$78,11,FALSE),IF($AC$11=1,VLOOKUP($V22,#REF!,11,FALSE),""))</f>
        <v>3</v>
      </c>
      <c r="AI22" s="219">
        <f ca="1">IF($AC$7=1,VLOOKUP($V22,Groepswedstrijden!$AH$12:$BA$78,19,FALSE),IF($AC$11=1,VLOOKUP($V22,#REF!,19,FALSE),""))</f>
        <v>45010403500002</v>
      </c>
      <c r="AJ22" s="224">
        <f ca="1">FLOOR(IF($AD21=2,AI21,IF($AD22=2,AI22,IF($AD23=2,AI23,AI24)))/10,1)</f>
        <v>5502040350000</v>
      </c>
      <c r="AL22" s="1174"/>
      <c r="AM22" s="339" t="str">
        <f ca="1">IF(AJ22=AJ21,"","2.")</f>
        <v>2.</v>
      </c>
      <c r="AN22" s="340" t="str">
        <f ca="1">IF($AD21=2,AE21,IF($AD22=2,AE22,IF($AD23=2,AE23,AE24)))</f>
        <v>Italy</v>
      </c>
      <c r="AO22" s="341">
        <f ca="1">IF($AD21=2,AF21,IF($AD22=2,AF22,IF($AD23=2,AF23,AF24)))</f>
        <v>5</v>
      </c>
      <c r="AP22" s="341">
        <f ca="1">IF($AD21=2,AG21,IF($AD22=2,AG22,IF($AD23=2,AG23,AG24)))</f>
        <v>4</v>
      </c>
      <c r="AQ22" s="341">
        <f ca="1">IF($AD21=2,AH21,IF($AD22=2,AH22,IF($AD23=2,AH23,AH24)))</f>
        <v>2</v>
      </c>
    </row>
    <row r="23" spans="2:43" ht="20.100000000000001" customHeight="1" x14ac:dyDescent="0.25">
      <c r="B23" s="17"/>
      <c r="C23" s="949"/>
      <c r="D23" s="1151" t="str">
        <f ca="1">IF($S$12=1,IF($AC$7=1,AB19,IF($AC$11=1,AC19,"")),IF(AND($S$12=2,OR($Y$23="LEEG",$Y$23="ONGELDIG")),IF($AC$7=1,AB19,IF($AC$11=1,AC19,"")),""))</f>
        <v>Scotland</v>
      </c>
      <c r="E23" s="1151"/>
      <c r="F23" s="1151"/>
      <c r="G23" s="1151"/>
      <c r="H23" s="1151"/>
      <c r="I23" s="1151"/>
      <c r="J23" s="17"/>
      <c r="K23" s="1151" t="str">
        <f ca="1">IF($S$12=1,IF($AC$7=1,AB24,IF($AC$11=1,AC24,"")),IF(AND($S$12=2,OR($Z$23="LEEG",$Z$23="ONGELDIG")),IF($AC$7=1,AB24,IF($AC$11=1,AC24,"")),""))</f>
        <v>Albania</v>
      </c>
      <c r="L23" s="1151"/>
      <c r="M23" s="1151"/>
      <c r="N23" s="1151"/>
      <c r="O23" s="1151"/>
      <c r="P23" s="1151"/>
      <c r="Q23" s="60"/>
      <c r="R23" s="17"/>
      <c r="S23" s="111">
        <f>S22+1</f>
        <v>4</v>
      </c>
      <c r="T23" s="85" t="str">
        <f ca="1">VLOOKUP(V23,Voorblad!$X$67:$Z$98,2,FALSE)</f>
        <v>Italy</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Croatia</v>
      </c>
      <c r="AC23" s="64" t="e">
        <f>#REF!</f>
        <v>#REF!</v>
      </c>
      <c r="AD23" s="143">
        <f ca="1">IF($AC$7=1,VLOOKUP($V23,Groepswedstrijden!$AH$12:$BA$78,20,FALSE),IF($AC$11=1,VLOOKUP($V23,#REF!,20,FALSE),""))</f>
        <v>2</v>
      </c>
      <c r="AE23" s="186" t="str">
        <f ca="1">IF($AC$7=1,VLOOKUP($V23,Groepswedstrijden!$AH$12:$BA$78,3,FALSE),IF($AC$11=1,VLOOKUP($V23,#REF!,3,FALSE),""))</f>
        <v>Italy</v>
      </c>
      <c r="AF23" s="143">
        <f ca="1">IF($AC$7=1,VLOOKUP($V23,Groepswedstrijden!$AH$12:$BA$78,9,FALSE),IF($AC$11=1,VLOOKUP($V23,#REF!,9,FALSE),""))</f>
        <v>5</v>
      </c>
      <c r="AG23" s="143">
        <f ca="1">IF($AC$7=1,VLOOKUP($V23,Groepswedstrijden!$AH$12:$BA$78,10,FALSE),IF($AC$11=1,VLOOKUP($V23,#REF!,10,FALSE),""))</f>
        <v>4</v>
      </c>
      <c r="AH23" s="143">
        <f ca="1">IF($AC$7=1,VLOOKUP($V23,Groepswedstrijden!$AH$12:$BA$78,11,FALSE),IF($AC$11=1,VLOOKUP($V23,#REF!,11,FALSE),""))</f>
        <v>2</v>
      </c>
      <c r="AI23" s="219">
        <f ca="1">IF($AC$7=1,VLOOKUP($V23,Groepswedstrijden!$AH$12:$BA$78,19,FALSE),IF($AC$11=1,VLOOKUP($V23,#REF!,19,FALSE),""))</f>
        <v>55020403500003</v>
      </c>
      <c r="AJ23" s="224">
        <f ca="1">FLOOR(IF($AD21=3,AI21,IF($AD22=3,AI22,IF($AD23=3,AI23,AI24)))/10,1)</f>
        <v>4501040350000</v>
      </c>
      <c r="AL23" s="1174"/>
      <c r="AM23" s="339" t="str">
        <f ca="1">IF(AJ23=AJ22,"","3.")</f>
        <v>3.</v>
      </c>
      <c r="AN23" s="340" t="str">
        <f ca="1">IF($AD21=3,AE21,IF($AD22=3,AE22,IF($AD23=3,AE23,AE24)))</f>
        <v>Croatia</v>
      </c>
      <c r="AO23" s="341">
        <f ca="1">IF($AD21=3,AF21,IF($AD22=3,AF22,IF($AD23=3,AF23,AF24)))</f>
        <v>4</v>
      </c>
      <c r="AP23" s="341">
        <f ca="1">IF($AD21=3,AG21,IF($AD22=3,AG22,IF($AD23=3,AG23,AG24)))</f>
        <v>4</v>
      </c>
      <c r="AQ23" s="341">
        <f ca="1">IF($AD21=3,AH21,IF($AD22=3,AH22,IF($AD23=3,AH23,AH24)))</f>
        <v>3</v>
      </c>
    </row>
    <row r="24" spans="2:43" ht="15" customHeight="1" x14ac:dyDescent="0.25">
      <c r="B24" s="17"/>
      <c r="C24" s="949"/>
      <c r="D24" s="1152" t="str">
        <f ca="1">Taal04!$B$26&amp;" C"</f>
        <v>Group C</v>
      </c>
      <c r="E24" s="1152"/>
      <c r="F24" s="17"/>
      <c r="G24" s="17"/>
      <c r="H24" s="17"/>
      <c r="I24" s="17"/>
      <c r="J24" s="17"/>
      <c r="K24" s="1152" t="str">
        <f ca="1">Taal04!$B$26&amp;" D"</f>
        <v>Group D</v>
      </c>
      <c r="L24" s="1152"/>
      <c r="M24" s="17"/>
      <c r="N24" s="17"/>
      <c r="O24" s="17"/>
      <c r="P24" s="17"/>
      <c r="Q24" s="60"/>
      <c r="R24" s="17"/>
      <c r="S24" s="111">
        <f>S23+1</f>
        <v>5</v>
      </c>
      <c r="T24" s="136" t="str">
        <f ca="1">VLOOKUP(V24,Voorblad!$X$67:$Z$98,2,FALSE)</f>
        <v>Albania</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Albania</v>
      </c>
      <c r="AC24" s="64" t="e">
        <f>#REF!</f>
        <v>#REF!</v>
      </c>
      <c r="AD24" s="143">
        <f ca="1">IF($AC$7=1,VLOOKUP($V24,Groepswedstrijden!$AH$12:$BA$78,20,FALSE),IF($AC$11=1,VLOOKUP($V24,#REF!,20,FALSE),""))</f>
        <v>4</v>
      </c>
      <c r="AE24" s="186" t="str">
        <f ca="1">IF($AC$7=1,VLOOKUP($V24,Groepswedstrijden!$AH$12:$BA$78,3,FALSE),IF($AC$11=1,VLOOKUP($V24,#REF!,3,FALSE),""))</f>
        <v>Albania</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7</v>
      </c>
      <c r="AI24" s="219">
        <f ca="1">IF($AC$7=1,VLOOKUP($V24,Groepswedstrijden!$AH$12:$BA$78,19,FALSE),IF($AC$11=1,VLOOKUP($V24,#REF!,19,FALSE),""))</f>
        <v>4930003500001</v>
      </c>
      <c r="AJ24" s="224">
        <f ca="1">FLOOR(IF($AD21=4,AI21,IF($AD22=4,AI22,IF($AD23=4,AI23,AI24)))/10,1)</f>
        <v>493000350000</v>
      </c>
      <c r="AL24" s="1175"/>
      <c r="AM24" s="342" t="str">
        <f ca="1">IF(AJ24=AJ23,"","4.")</f>
        <v>4.</v>
      </c>
      <c r="AN24" s="343" t="str">
        <f ca="1">IF($AD21=4,AE21,IF($AD22=4,AE22,IF($AD23=4,AE23,AE24)))</f>
        <v>Albania</v>
      </c>
      <c r="AO24" s="344">
        <f ca="1">IF($AD21=4,AF21,IF($AD22=4,AF22,IF($AD23=4,AF23,AF24)))</f>
        <v>0</v>
      </c>
      <c r="AP24" s="344">
        <f ca="1">IF($AD21=4,AG21,IF($AD22=4,AG22,IF($AD23=4,AG23,AG24)))</f>
        <v>0</v>
      </c>
      <c r="AQ24" s="344">
        <f ca="1">IF($AD21=4,AH21,IF($AD22=4,AH22,IF($AD23=4,AH23,AH24)))</f>
        <v>7</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NL.FR.PL.AT|</v>
      </c>
      <c r="AA25" s="64"/>
      <c r="AB25" s="264" t="str">
        <f ca="1">UPPER(Taal04!$B$26)&amp;" "&amp;V25</f>
        <v>GROUP C</v>
      </c>
      <c r="AC25" s="263" t="str">
        <f ca="1">AB25</f>
        <v>GROUP C</v>
      </c>
      <c r="AD25" s="143"/>
      <c r="AE25" s="187" t="str">
        <f ca="1">AB25</f>
        <v>GROUP C</v>
      </c>
      <c r="AF25" s="143"/>
      <c r="AG25" s="143"/>
      <c r="AH25" s="143"/>
      <c r="AI25" s="219"/>
      <c r="AJ25" s="223"/>
      <c r="AL25" s="602" t="str">
        <f>IF(AH6="JA","","└ "&amp;SUBSTITUTE(Taal04!B62,"#",RIGHT(AL21,1)))</f>
        <v/>
      </c>
    </row>
    <row r="26" spans="2:43" ht="15" customHeight="1" x14ac:dyDescent="0.25">
      <c r="B26" s="17"/>
      <c r="C26" s="949"/>
      <c r="D26" s="335" t="s">
        <v>212</v>
      </c>
      <c r="E26" s="820" t="s">
        <v>575</v>
      </c>
      <c r="F26" s="587" t="str">
        <f>IF(Y27="LEEG","▼","")</f>
        <v/>
      </c>
      <c r="G26" s="17"/>
      <c r="H26" s="741"/>
      <c r="I26" s="741"/>
      <c r="J26" s="17"/>
      <c r="K26" s="335" t="s">
        <v>212</v>
      </c>
      <c r="L26" s="821" t="s">
        <v>850</v>
      </c>
      <c r="M26" s="587" t="str">
        <f>IF(Z27="LEEG","▼","")</f>
        <v/>
      </c>
      <c r="N26" s="17"/>
      <c r="O26" s="741"/>
      <c r="P26" s="741"/>
      <c r="Q26" s="60"/>
      <c r="R26" s="17"/>
      <c r="S26" s="111">
        <f>S25+1</f>
        <v>2</v>
      </c>
      <c r="T26" s="85" t="str">
        <f ca="1">VLOOKUP(V26,Voorblad!$X$67:$Z$98,2,FALSE)</f>
        <v>Slovenia</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3</v>
      </c>
      <c r="AA26" s="263" t="str">
        <f ca="1">RIGHT(V26,1)</f>
        <v>1</v>
      </c>
      <c r="AB26" s="265" t="str">
        <f ca="1">Groepswedstrijden!AB76</f>
        <v>England</v>
      </c>
      <c r="AC26" s="64" t="e">
        <f>#REF!</f>
        <v>#REF!</v>
      </c>
      <c r="AD26" s="143">
        <f ca="1">IF($AC$7=1,VLOOKUP($V26,Groepswedstrijden!$AH$12:$BA$78,20,FALSE),IF($AC$11=1,VLOOKUP($V26,#REF!,20,FALSE),""))</f>
        <v>4</v>
      </c>
      <c r="AE26" s="186" t="str">
        <f ca="1">IF($AC$7=1,VLOOKUP($V26,Groepswedstrijden!$AH$12:$BA$78,3,FALSE),IF($AC$11=1,VLOOKUP($V26,#REF!,3,FALSE),""))</f>
        <v>Slovenia</v>
      </c>
      <c r="AF26" s="143">
        <f ca="1">IF($AC$7=1,VLOOKUP($V26,Groepswedstrijden!$AH$12:$BA$78,9,FALSE),IF($AC$11=1,VLOOKUP($V26,#REF!,9,FALSE),""))</f>
        <v>1</v>
      </c>
      <c r="AG26" s="143">
        <f ca="1">IF($AC$7=1,VLOOKUP($V26,Groepswedstrijden!$AH$12:$BA$78,10,FALSE),IF($AC$11=1,VLOOKUP($V26,#REF!,10,FALSE),""))</f>
        <v>2</v>
      </c>
      <c r="AH26" s="143">
        <f ca="1">IF($AC$7=1,VLOOKUP($V26,Groepswedstrijden!$AH$12:$BA$78,11,FALSE),IF($AC$11=1,VLOOKUP($V26,#REF!,11,FALSE),""))</f>
        <v>6</v>
      </c>
      <c r="AI26" s="219">
        <f ca="1">IF($AC$7=1,VLOOKUP($V26,Groepswedstrijden!$AH$12:$BA$78,19,FALSE),IF($AC$11=1,VLOOKUP($V26,#REF!,19,FALSE),""))</f>
        <v>14960203500004</v>
      </c>
      <c r="AJ26" s="224">
        <f ca="1">FLOOR(IF($AD26=1,AI26,IF($AD27=1,AI27,IF($AD28=1,AI28,AI29)))/10,1)</f>
        <v>9507080350000</v>
      </c>
      <c r="AL26" s="1173" t="str">
        <f ca="1">AE25</f>
        <v>GROUP C</v>
      </c>
      <c r="AM26" s="336" t="s">
        <v>67</v>
      </c>
      <c r="AN26" s="337" t="str">
        <f ca="1">IF($AD26=1,AE26,IF($AD27=1,AE27,IF($AD28=1,AE28,AE29)))</f>
        <v>England</v>
      </c>
      <c r="AO26" s="338">
        <f ca="1">IF($AD26=1,AF26,IF($AD27=1,AF27,IF($AD28=1,AF28,AF29)))</f>
        <v>9</v>
      </c>
      <c r="AP26" s="338">
        <f ca="1">IF($AD26=1,AG26,IF($AD27=1,AG27,IF($AD28=1,AG28,AG29)))</f>
        <v>8</v>
      </c>
      <c r="AQ26" s="338">
        <f ca="1">IF($AD26=1,AH26,IF($AD27=1,AH27,IF($AD28=1,AH28,AH29)))</f>
        <v>1</v>
      </c>
    </row>
    <row r="27" spans="2:43" ht="20.100000000000001" customHeight="1" x14ac:dyDescent="0.25">
      <c r="B27" s="17"/>
      <c r="C27" s="949"/>
      <c r="D27" s="1151" t="str">
        <f ca="1">IF($S$12=1,IF($AC$7=1,AB26,IF($AC$11=1,AC26,"")),IF(AND($S$12=2,OR($Y$27="LEEG",$Y$27="ONGELDIG")),IF($AC$7=1,AB26,IF($AC$11=1,AC26,"")),""))</f>
        <v>England</v>
      </c>
      <c r="E27" s="1151"/>
      <c r="F27" s="1151"/>
      <c r="G27" s="1151"/>
      <c r="H27" s="1151"/>
      <c r="I27" s="1151"/>
      <c r="J27" s="17"/>
      <c r="K27" s="1151" t="str">
        <f ca="1">IF($S$12=1,IF($AC$7=1,AB31,IF($AC$11=1,AC31,"")),IF(AND($S$12=2,OR($Z$27="LEEG",$Z$27="ONGELDIG")),IF($AC$7=1,AB31,IF($AC$11=1,AC31,"")),""))</f>
        <v>Poland / Netherlands / France</v>
      </c>
      <c r="L27" s="1151"/>
      <c r="M27" s="1151"/>
      <c r="N27" s="1151"/>
      <c r="O27" s="1151"/>
      <c r="P27" s="1151"/>
      <c r="Q27" s="60"/>
      <c r="R27" s="17"/>
      <c r="S27" s="111">
        <f>S26+1</f>
        <v>3</v>
      </c>
      <c r="T27" s="85" t="str">
        <f ca="1">VLOOKUP(V27,Voorblad!$X$67:$Z$98,2,FALSE)</f>
        <v>Denmark</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Denmark</v>
      </c>
      <c r="AC27" s="64" t="e">
        <f>#REF!</f>
        <v>#REF!</v>
      </c>
      <c r="AD27" s="143">
        <f ca="1">IF($AC$7=1,VLOOKUP($V27,Groepswedstrijden!$AH$12:$BA$78,20,FALSE),IF($AC$11=1,VLOOKUP($V27,#REF!,20,FALSE),""))</f>
        <v>2</v>
      </c>
      <c r="AE27" s="186" t="str">
        <f ca="1">IF($AC$7=1,VLOOKUP($V27,Groepswedstrijden!$AH$12:$BA$78,3,FALSE),IF($AC$11=1,VLOOKUP($V27,#REF!,3,FALSE),""))</f>
        <v>Denmark</v>
      </c>
      <c r="AF27" s="143">
        <f ca="1">IF($AC$7=1,VLOOKUP($V27,Groepswedstrijden!$AH$12:$BA$78,9,FALSE),IF($AC$11=1,VLOOKUP($V27,#REF!,9,FALSE),""))</f>
        <v>4</v>
      </c>
      <c r="AG27" s="143">
        <f ca="1">IF($AC$7=1,VLOOKUP($V27,Groepswedstrijden!$AH$12:$BA$78,10,FALSE),IF($AC$11=1,VLOOKUP($V27,#REF!,10,FALSE),""))</f>
        <v>4</v>
      </c>
      <c r="AH27" s="143">
        <f ca="1">IF($AC$7=1,VLOOKUP($V27,Groepswedstrijden!$AH$12:$BA$78,11,FALSE),IF($AC$11=1,VLOOKUP($V27,#REF!,11,FALSE),""))</f>
        <v>5</v>
      </c>
      <c r="AI27" s="219">
        <f ca="1">IF($AC$7=1,VLOOKUP($V27,Groepswedstrijden!$AH$12:$BA$78,19,FALSE),IF($AC$11=1,VLOOKUP($V27,#REF!,19,FALSE),""))</f>
        <v>44990403500001</v>
      </c>
      <c r="AJ27" s="224">
        <f ca="1">FLOOR(IF($AD26=2,AI26,IF($AD27=2,AI27,IF($AD28=2,AI28,AI29)))/10,1)</f>
        <v>4499040350000</v>
      </c>
      <c r="AL27" s="1174"/>
      <c r="AM27" s="339" t="str">
        <f ca="1">IF(AJ27=AJ26,"","2.")</f>
        <v>2.</v>
      </c>
      <c r="AN27" s="340" t="str">
        <f ca="1">IF($AD26=2,AE26,IF($AD27=2,AE27,IF($AD28=2,AE28,AE29)))</f>
        <v>Denmark</v>
      </c>
      <c r="AO27" s="341">
        <f ca="1">IF($AD26=2,AF26,IF($AD27=2,AF27,IF($AD28=2,AF28,AF29)))</f>
        <v>4</v>
      </c>
      <c r="AP27" s="341">
        <f ca="1">IF($AD26=2,AG26,IF($AD27=2,AG27,IF($AD28=2,AG28,AG29)))</f>
        <v>4</v>
      </c>
      <c r="AQ27" s="341">
        <f ca="1">IF($AD26=2,AH26,IF($AD27=2,AH27,IF($AD28=2,AH28,AH29)))</f>
        <v>5</v>
      </c>
    </row>
    <row r="28" spans="2:43" ht="15" customHeight="1" x14ac:dyDescent="0.25">
      <c r="B28" s="17"/>
      <c r="C28" s="949"/>
      <c r="D28" s="335" t="s">
        <v>213</v>
      </c>
      <c r="E28" s="820" t="s">
        <v>566</v>
      </c>
      <c r="F28" s="587" t="str">
        <f>IF(Y29="LEEG","▼","")</f>
        <v/>
      </c>
      <c r="G28" s="17"/>
      <c r="H28" s="17"/>
      <c r="I28" s="17"/>
      <c r="J28" s="17"/>
      <c r="K28" s="335" t="s">
        <v>213</v>
      </c>
      <c r="L28" s="821" t="s">
        <v>565</v>
      </c>
      <c r="M28" s="587" t="str">
        <f>IF(Z29="LEEG","▼","")</f>
        <v/>
      </c>
      <c r="N28" s="17"/>
      <c r="O28" s="17"/>
      <c r="P28" s="17"/>
      <c r="Q28" s="60"/>
      <c r="R28" s="17"/>
      <c r="S28" s="111">
        <f>S27+1</f>
        <v>4</v>
      </c>
      <c r="T28" s="85" t="str">
        <f ca="1">VLOOKUP(V28,Voorblad!$X$67:$Z$98,2,FALSE)</f>
        <v>Serbia</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5</v>
      </c>
      <c r="AA28" s="263" t="str">
        <f ca="1">RIGHT(V28,1)</f>
        <v>3</v>
      </c>
      <c r="AB28" s="265" t="str">
        <f ca="1">Groepswedstrijden!AB78</f>
        <v>Serbia</v>
      </c>
      <c r="AC28" s="64" t="e">
        <f>#REF!</f>
        <v>#REF!</v>
      </c>
      <c r="AD28" s="143">
        <f ca="1">IF($AC$7=1,VLOOKUP($V28,Groepswedstrijden!$AH$12:$BA$78,20,FALSE),IF($AC$11=1,VLOOKUP($V28,#REF!,20,FALSE),""))</f>
        <v>3</v>
      </c>
      <c r="AE28" s="186" t="str">
        <f ca="1">IF($AC$7=1,VLOOKUP($V28,Groepswedstrijden!$AH$12:$BA$78,3,FALSE),IF($AC$11=1,VLOOKUP($V28,#REF!,3,FALSE),""))</f>
        <v>Serbia</v>
      </c>
      <c r="AF28" s="143">
        <f ca="1">IF($AC$7=1,VLOOKUP($V28,Groepswedstrijden!$AH$12:$BA$78,9,FALSE),IF($AC$11=1,VLOOKUP($V28,#REF!,9,FALSE),""))</f>
        <v>2</v>
      </c>
      <c r="AG28" s="143">
        <f ca="1">IF($AC$7=1,VLOOKUP($V28,Groepswedstrijden!$AH$12:$BA$78,10,FALSE),IF($AC$11=1,VLOOKUP($V28,#REF!,10,FALSE),""))</f>
        <v>5</v>
      </c>
      <c r="AH28" s="143">
        <f ca="1">IF($AC$7=1,VLOOKUP($V28,Groepswedstrijden!$AH$12:$BA$78,11,FALSE),IF($AC$11=1,VLOOKUP($V28,#REF!,11,FALSE),""))</f>
        <v>7</v>
      </c>
      <c r="AI28" s="219">
        <f ca="1">IF($AC$7=1,VLOOKUP($V28,Groepswedstrijden!$AH$12:$BA$78,19,FALSE),IF($AC$11=1,VLOOKUP($V28,#REF!,19,FALSE),""))</f>
        <v>24980503500003</v>
      </c>
      <c r="AJ28" s="224">
        <f ca="1">FLOOR(IF($AD26=3,AI26,IF($AD27=3,AI27,IF($AD28=3,AI28,AI29)))/10,1)</f>
        <v>2498050350000</v>
      </c>
      <c r="AL28" s="1174"/>
      <c r="AM28" s="339" t="str">
        <f ca="1">IF(AJ28=AJ27,"","3.")</f>
        <v>3.</v>
      </c>
      <c r="AN28" s="340" t="str">
        <f ca="1">IF($AD26=3,AE26,IF($AD27=3,AE27,IF($AD28=3,AE28,AE29)))</f>
        <v>Serbia</v>
      </c>
      <c r="AO28" s="341">
        <f ca="1">IF($AD26=3,AF26,IF($AD27=3,AF27,IF($AD28=3,AF28,AF29)))</f>
        <v>2</v>
      </c>
      <c r="AP28" s="341">
        <f ca="1">IF($AD26=3,AG26,IF($AD27=3,AG27,IF($AD28=3,AG28,AG29)))</f>
        <v>5</v>
      </c>
      <c r="AQ28" s="341">
        <f ca="1">IF($AD26=3,AH26,IF($AD27=3,AH27,IF($AD28=3,AH28,AH29)))</f>
        <v>7</v>
      </c>
    </row>
    <row r="29" spans="2:43" ht="20.100000000000001" customHeight="1" x14ac:dyDescent="0.25">
      <c r="B29" s="17"/>
      <c r="C29" s="949"/>
      <c r="D29" s="1151" t="str">
        <f ca="1">IF($S$12=1,IF($AC$7=1,AB27,IF($AC$11=1,AC27,"")),IF(AND($S$12=2,OR($Y$29="LEEG",$Y$29="ONGELDIG")),IF($AC$7=1,AB27,IF($AC$11=1,AC27,"")),""))</f>
        <v>Denmark</v>
      </c>
      <c r="E29" s="1151"/>
      <c r="F29" s="1151"/>
      <c r="G29" s="1151"/>
      <c r="H29" s="1151"/>
      <c r="I29" s="1151"/>
      <c r="J29" s="17"/>
      <c r="K29" s="1151" t="str">
        <f ca="1">IF($S$12=1,IF($AC$7=1,AB32,IF($AC$11=1,AC32,"")),IF(AND($S$12=2,OR($Z$29="LEEG",$Z$29="ONGELDIG")),IF($AC$7=1,AB32,IF($AC$11=1,AC32,"")),""))</f>
        <v>Poland / Netherlands / France</v>
      </c>
      <c r="L29" s="1151"/>
      <c r="M29" s="1151"/>
      <c r="N29" s="1151"/>
      <c r="O29" s="1151"/>
      <c r="P29" s="1151"/>
      <c r="Q29" s="60"/>
      <c r="R29" s="17"/>
      <c r="S29" s="111">
        <f>S28+1</f>
        <v>5</v>
      </c>
      <c r="T29" s="136" t="str">
        <f ca="1">VLOOKUP(V29,Voorblad!$X$67:$Z$98,2,FALSE)</f>
        <v>England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Slovenia</v>
      </c>
      <c r="AC29" s="64" t="e">
        <f>#REF!</f>
        <v>#REF!</v>
      </c>
      <c r="AD29" s="143">
        <f ca="1">IF($AC$7=1,VLOOKUP($V29,Groepswedstrijden!$AH$12:$BA$78,20,FALSE),IF($AC$11=1,VLOOKUP($V29,#REF!,20,FALSE),""))</f>
        <v>1</v>
      </c>
      <c r="AE29" s="186" t="str">
        <f ca="1">IF($AC$7=1,VLOOKUP($V29,Groepswedstrijden!$AH$12:$BA$78,3,FALSE),IF($AC$11=1,VLOOKUP($V29,#REF!,3,FALSE),""))</f>
        <v>England</v>
      </c>
      <c r="AF29" s="143">
        <f ca="1">IF($AC$7=1,VLOOKUP($V29,Groepswedstrijden!$AH$12:$BA$78,9,FALSE),IF($AC$11=1,VLOOKUP($V29,#REF!,9,FALSE),""))</f>
        <v>9</v>
      </c>
      <c r="AG29" s="143">
        <f ca="1">IF($AC$7=1,VLOOKUP($V29,Groepswedstrijden!$AH$12:$BA$78,10,FALSE),IF($AC$11=1,VLOOKUP($V29,#REF!,10,FALSE),""))</f>
        <v>8</v>
      </c>
      <c r="AH29" s="143">
        <f ca="1">IF($AC$7=1,VLOOKUP($V29,Groepswedstrijden!$AH$12:$BA$78,11,FALSE),IF($AC$11=1,VLOOKUP($V29,#REF!,11,FALSE),""))</f>
        <v>1</v>
      </c>
      <c r="AI29" s="219">
        <f ca="1">IF($AC$7=1,VLOOKUP($V29,Groepswedstrijden!$AH$12:$BA$78,19,FALSE),IF($AC$11=1,VLOOKUP($V29,#REF!,19,FALSE),""))</f>
        <v>95070803500002</v>
      </c>
      <c r="AJ29" s="224">
        <f ca="1">FLOOR(IF($AD26=4,AI26,IF($AD27=4,AI27,IF($AD28=4,AI28,AI29)))/10,1)</f>
        <v>1496020350000</v>
      </c>
      <c r="AL29" s="1175"/>
      <c r="AM29" s="342" t="str">
        <f ca="1">IF(AJ29=AJ28,"","4.")</f>
        <v>4.</v>
      </c>
      <c r="AN29" s="343" t="str">
        <f ca="1">IF($AD26=4,AE26,IF($AD27=4,AE27,IF($AD28=4,AE28,AE29)))</f>
        <v>Slovenia</v>
      </c>
      <c r="AO29" s="344">
        <f ca="1">IF($AD26=4,AF26,IF($AD27=4,AF27,IF($AD28=4,AF28,AF29)))</f>
        <v>1</v>
      </c>
      <c r="AP29" s="344">
        <f ca="1">IF($AD26=4,AG26,IF($AD27=4,AG27,IF($AD28=4,AG28,AG29)))</f>
        <v>2</v>
      </c>
      <c r="AQ29" s="344">
        <f ca="1">IF($AD26=4,AH26,IF($AD27=4,AH27,IF($AD28=4,AH28,AH29)))</f>
        <v>6</v>
      </c>
    </row>
    <row r="30" spans="2:43" ht="15" customHeight="1" x14ac:dyDescent="0.25">
      <c r="B30" s="17"/>
      <c r="C30" s="949"/>
      <c r="D30" s="335" t="s">
        <v>214</v>
      </c>
      <c r="E30" s="820" t="s">
        <v>1854</v>
      </c>
      <c r="F30" s="587" t="str">
        <f>IF(Y31="LEEG","▼","")</f>
        <v/>
      </c>
      <c r="G30" s="17"/>
      <c r="H30" s="17"/>
      <c r="I30" s="17"/>
      <c r="J30" s="17"/>
      <c r="K30" s="335" t="s">
        <v>214</v>
      </c>
      <c r="L30" s="821" t="s">
        <v>2467</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GROUP D</v>
      </c>
      <c r="AC30" s="263" t="str">
        <f ca="1">AB30</f>
        <v>GROUP D</v>
      </c>
      <c r="AD30" s="143"/>
      <c r="AE30" s="187" t="str">
        <f ca="1">AB30</f>
        <v>GROUP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Serbia</v>
      </c>
      <c r="E31" s="1151"/>
      <c r="F31" s="1151"/>
      <c r="G31" s="1151"/>
      <c r="H31" s="1151"/>
      <c r="I31" s="1151"/>
      <c r="J31" s="17"/>
      <c r="K31" s="1151" t="str">
        <f ca="1">IF($S$12=1,IF($AC$7=1,AB33,IF($AC$11=1,AC33,"")),IF(AND($S$12=2,OR($Z$31="LEEG",$Z$31="ONGELDIG")),IF($AC$7=1,AB33,IF($AC$11=1,AC33,"")),""))</f>
        <v>Poland / Netherlands / France</v>
      </c>
      <c r="L31" s="1151"/>
      <c r="M31" s="1151"/>
      <c r="N31" s="1151"/>
      <c r="O31" s="1151"/>
      <c r="P31" s="1151"/>
      <c r="Q31" s="60"/>
      <c r="R31" s="17"/>
      <c r="S31" s="111">
        <f>S30+1</f>
        <v>2</v>
      </c>
      <c r="T31" s="85" t="str">
        <f ca="1">VLOOKUP(V31,Voorblad!$X$67:$Z$98,2,FALSE)</f>
        <v>Poland</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Poland / Netherlands / France</v>
      </c>
      <c r="AC31" s="64" t="e">
        <f>#REF!</f>
        <v>#REF!</v>
      </c>
      <c r="AD31" s="143">
        <f ca="1">IF($AC$7=1,VLOOKUP($V31,Groepswedstrijden!$AH$12:$BA$78,20,FALSE),IF($AC$11=1,VLOOKUP($V31,#REF!,20,FALSE),""))</f>
        <v>3</v>
      </c>
      <c r="AE31" s="186" t="str">
        <f ca="1">IF($AC$7=1,VLOOKUP($V31,Groepswedstrijden!$AH$12:$BA$78,3,FALSE),IF($AC$11=1,VLOOKUP($V31,#REF!,3,FALSE),""))</f>
        <v>Poland</v>
      </c>
      <c r="AF31" s="143">
        <f ca="1">IF($AC$7=1,VLOOKUP($V31,Groepswedstrijden!$AH$12:$BA$78,9,FALSE),IF($AC$11=1,VLOOKUP($V31,#REF!,9,FALSE),""))</f>
        <v>5</v>
      </c>
      <c r="AG31" s="143">
        <f ca="1">IF($AC$7=1,VLOOKUP($V31,Groepswedstrijden!$AH$12:$BA$78,10,FALSE),IF($AC$11=1,VLOOKUP($V31,#REF!,10,FALSE),""))</f>
        <v>4</v>
      </c>
      <c r="AH31" s="143">
        <f ca="1">IF($AC$7=1,VLOOKUP($V31,Groepswedstrijden!$AH$12:$BA$78,11,FALSE),IF($AC$11=1,VLOOKUP($V31,#REF!,11,FALSE),""))</f>
        <v>3</v>
      </c>
      <c r="AI31" s="219">
        <f ca="1">IF($AC$7=1,VLOOKUP($V31,Groepswedstrijden!$AH$12:$BA$78,19,FALSE),IF($AC$11=1,VLOOKUP($V31,#REF!,19,FALSE),""))</f>
        <v>55010403500024</v>
      </c>
      <c r="AJ31" s="224">
        <f ca="1">FLOOR(IF($AD31=1,AI31,IF($AD32=1,AI32,IF($AD33=1,AI33,AI34)))/10,1)</f>
        <v>5502050350003</v>
      </c>
      <c r="AL31" s="1173" t="str">
        <f ca="1">AE30</f>
        <v>GROUP D</v>
      </c>
      <c r="AM31" s="336" t="s">
        <v>67</v>
      </c>
      <c r="AN31" s="337" t="str">
        <f ca="1">IF($AD31=1,AE31,IF($AD32=1,AE32,IF($AD33=1,AE33,AE34)))</f>
        <v>France</v>
      </c>
      <c r="AO31" s="338">
        <f ca="1">IF($AD31=1,AF31,IF($AD32=1,AF32,IF($AD33=1,AF33,AF34)))</f>
        <v>5</v>
      </c>
      <c r="AP31" s="338">
        <f ca="1">IF($AD31=1,AG31,IF($AD32=1,AG32,IF($AD33=1,AG33,AG34)))</f>
        <v>5</v>
      </c>
      <c r="AQ31" s="338">
        <f ca="1">IF($AD31=1,AH31,IF($AD32=1,AH32,IF($AD33=1,AH33,AH34)))</f>
        <v>3</v>
      </c>
    </row>
    <row r="32" spans="2:43" ht="15" customHeight="1" x14ac:dyDescent="0.25">
      <c r="B32" s="17"/>
      <c r="C32" s="949"/>
      <c r="D32" s="335" t="s">
        <v>215</v>
      </c>
      <c r="E32" s="820" t="s">
        <v>2198</v>
      </c>
      <c r="F32" s="587" t="str">
        <f>IF(Y33="LEEG","▼","")</f>
        <v/>
      </c>
      <c r="G32" s="17"/>
      <c r="H32" s="17"/>
      <c r="I32" s="17"/>
      <c r="J32" s="17"/>
      <c r="K32" s="335" t="s">
        <v>215</v>
      </c>
      <c r="L32" s="821" t="s">
        <v>2229</v>
      </c>
      <c r="M32" s="587" t="str">
        <f>IF(Z33="LEEG","▼","")</f>
        <v/>
      </c>
      <c r="N32" s="17"/>
      <c r="O32" s="17"/>
      <c r="P32" s="17"/>
      <c r="Q32" s="60"/>
      <c r="R32" s="17"/>
      <c r="S32" s="111">
        <f>S31+1</f>
        <v>3</v>
      </c>
      <c r="T32" s="85" t="str">
        <f ca="1">VLOOKUP(V32,Voorblad!$X$67:$Z$98,2,FALSE)</f>
        <v>Netherlands</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Poland / Netherlands / France</v>
      </c>
      <c r="AC32" s="64" t="e">
        <f>#REF!</f>
        <v>#REF!</v>
      </c>
      <c r="AD32" s="143">
        <f ca="1">IF($AC$7=1,VLOOKUP($V32,Groepswedstrijden!$AH$12:$BA$78,20,FALSE),IF($AC$11=1,VLOOKUP($V32,#REF!,20,FALSE),""))</f>
        <v>2</v>
      </c>
      <c r="AE32" s="186" t="str">
        <f ca="1">IF($AC$7=1,VLOOKUP($V32,Groepswedstrijden!$AH$12:$BA$78,3,FALSE),IF($AC$11=1,VLOOKUP($V32,#REF!,3,FALSE),""))</f>
        <v>Netherlands</v>
      </c>
      <c r="AF32" s="143">
        <f ca="1">IF($AC$7=1,VLOOKUP($V32,Groepswedstrijden!$AH$12:$BA$78,9,FALSE),IF($AC$11=1,VLOOKUP($V32,#REF!,9,FALSE),""))</f>
        <v>5</v>
      </c>
      <c r="AG32" s="143">
        <f ca="1">IF($AC$7=1,VLOOKUP($V32,Groepswedstrijden!$AH$12:$BA$78,10,FALSE),IF($AC$11=1,VLOOKUP($V32,#REF!,10,FALSE),""))</f>
        <v>5</v>
      </c>
      <c r="AH32" s="143">
        <f ca="1">IF($AC$7=1,VLOOKUP($V32,Groepswedstrijden!$AH$12:$BA$78,11,FALSE),IF($AC$11=1,VLOOKUP($V32,#REF!,11,FALSE),""))</f>
        <v>4</v>
      </c>
      <c r="AI32" s="219">
        <f ca="1">IF($AC$7=1,VLOOKUP($V32,Groepswedstrijden!$AH$12:$BA$78,19,FALSE),IF($AC$11=1,VLOOKUP($V32,#REF!,19,FALSE),""))</f>
        <v>55010503500033</v>
      </c>
      <c r="AJ32" s="224">
        <f ca="1">FLOOR(IF($AD31=2,AI31,IF($AD32=2,AI32,IF($AD33=2,AI33,AI34)))/10,1)</f>
        <v>5501050350003</v>
      </c>
      <c r="AL32" s="1174"/>
      <c r="AM32" s="339" t="str">
        <f ca="1">IF(AJ32=AJ31,"","2.")</f>
        <v>2.</v>
      </c>
      <c r="AN32" s="340" t="str">
        <f ca="1">IF($AD31=2,AE31,IF($AD32=2,AE32,IF($AD33=2,AE33,AE34)))</f>
        <v>Netherlands</v>
      </c>
      <c r="AO32" s="341">
        <f ca="1">IF($AD31=2,AF31,IF($AD32=2,AF32,IF($AD33=2,AF33,AF34)))</f>
        <v>5</v>
      </c>
      <c r="AP32" s="341">
        <f ca="1">IF($AD31=2,AG31,IF($AD32=2,AG32,IF($AD33=2,AG33,AG34)))</f>
        <v>5</v>
      </c>
      <c r="AQ32" s="341">
        <f ca="1">IF($AD31=2,AH31,IF($AD32=2,AH32,IF($AD33=2,AH33,AH34)))</f>
        <v>4</v>
      </c>
    </row>
    <row r="33" spans="1:43" ht="20.100000000000001" customHeight="1" x14ac:dyDescent="0.25">
      <c r="B33" s="17"/>
      <c r="C33" s="949"/>
      <c r="D33" s="1151" t="str">
        <f ca="1">IF($S$12=1,IF($AC$7=1,AB29,IF($AC$11=1,AC29,"")),IF(AND($S$12=2,OR($Y$33="LEEG",$Y$33="ONGELDIG")),IF($AC$7=1,AB29,IF($AC$11=1,AC29,"")),""))</f>
        <v>Slovenia</v>
      </c>
      <c r="E33" s="1151"/>
      <c r="F33" s="1151"/>
      <c r="G33" s="1151"/>
      <c r="H33" s="1151"/>
      <c r="I33" s="1151"/>
      <c r="J33" s="17"/>
      <c r="K33" s="1151" t="str">
        <f ca="1">IF($S$12=1,IF($AC$7=1,AB34,IF($AC$11=1,AC34,"")),IF(AND($S$12=2,OR($Z$33="LEEG",$Z$33="ONGELDIG")),IF($AC$7=1,AB34,IF($AC$11=1,AC34,"")),""))</f>
        <v>Austria</v>
      </c>
      <c r="L33" s="1151"/>
      <c r="M33" s="1151"/>
      <c r="N33" s="1151"/>
      <c r="O33" s="1151"/>
      <c r="P33" s="1151"/>
      <c r="Q33" s="60"/>
      <c r="R33" s="17"/>
      <c r="S33" s="111">
        <f>S32+1</f>
        <v>4</v>
      </c>
      <c r="T33" s="85" t="str">
        <f ca="1">VLOOKUP(V33,Voorblad!$X$67:$Z$98,2,FALSE)</f>
        <v>Austria</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Poland / Netherlands / France</v>
      </c>
      <c r="AC33" s="64" t="e">
        <f>#REF!</f>
        <v>#REF!</v>
      </c>
      <c r="AD33" s="143">
        <f ca="1">IF($AC$7=1,VLOOKUP($V33,Groepswedstrijden!$AH$12:$BA$78,20,FALSE),IF($AC$11=1,VLOOKUP($V33,#REF!,20,FALSE),""))</f>
        <v>4</v>
      </c>
      <c r="AE33" s="186" t="str">
        <f ca="1">IF($AC$7=1,VLOOKUP($V33,Groepswedstrijden!$AH$12:$BA$78,3,FALSE),IF($AC$11=1,VLOOKUP($V33,#REF!,3,FALSE),""))</f>
        <v>Austria</v>
      </c>
      <c r="AF33" s="143">
        <f ca="1">IF($AC$7=1,VLOOKUP($V33,Groepswedstrijden!$AH$12:$BA$78,9,FALSE),IF($AC$11=1,VLOOKUP($V33,#REF!,9,FALSE),""))</f>
        <v>0</v>
      </c>
      <c r="AG33" s="143">
        <f ca="1">IF($AC$7=1,VLOOKUP($V33,Groepswedstrijden!$AH$12:$BA$78,10,FALSE),IF($AC$11=1,VLOOKUP($V33,#REF!,10,FALSE),""))</f>
        <v>2</v>
      </c>
      <c r="AH33" s="143">
        <f ca="1">IF($AC$7=1,VLOOKUP($V33,Groepswedstrijden!$AH$12:$BA$78,11,FALSE),IF($AC$11=1,VLOOKUP($V33,#REF!,11,FALSE),""))</f>
        <v>6</v>
      </c>
      <c r="AI33" s="219">
        <f ca="1">IF($AC$7=1,VLOOKUP($V33,Groepswedstrijden!$AH$12:$BA$78,19,FALSE),IF($AC$11=1,VLOOKUP($V33,#REF!,19,FALSE),""))</f>
        <v>4960203500001</v>
      </c>
      <c r="AJ33" s="224">
        <f ca="1">FLOOR(IF($AD31=3,AI31,IF($AD32=3,AI32,IF($AD33=3,AI33,AI34)))/10,1)</f>
        <v>5501040350002</v>
      </c>
      <c r="AL33" s="1174"/>
      <c r="AM33" s="339" t="str">
        <f ca="1">IF(AJ33=AJ32,"","3.")</f>
        <v>3.</v>
      </c>
      <c r="AN33" s="340" t="str">
        <f ca="1">IF($AD31=3,AE31,IF($AD32=3,AE32,IF($AD33=3,AE33,AE34)))</f>
        <v>Poland</v>
      </c>
      <c r="AO33" s="341">
        <f ca="1">IF($AD31=3,AF31,IF($AD32=3,AF32,IF($AD33=3,AF33,AF34)))</f>
        <v>5</v>
      </c>
      <c r="AP33" s="341">
        <f ca="1">IF($AD31=3,AG31,IF($AD32=3,AG32,IF($AD33=3,AG33,AG34)))</f>
        <v>4</v>
      </c>
      <c r="AQ33" s="341">
        <f ca="1">IF($AD31=3,AH31,IF($AD32=3,AH32,IF($AD33=3,AH33,AH34)))</f>
        <v>3</v>
      </c>
    </row>
    <row r="34" spans="1:43" ht="15" customHeight="1" x14ac:dyDescent="0.25">
      <c r="B34" s="17"/>
      <c r="C34" s="949"/>
      <c r="D34" s="1152" t="str">
        <f ca="1">Taal04!$B$26&amp;" E"</f>
        <v>Group E</v>
      </c>
      <c r="E34" s="1152"/>
      <c r="F34" s="17"/>
      <c r="G34" s="17"/>
      <c r="H34" s="17"/>
      <c r="I34" s="17"/>
      <c r="J34" s="17"/>
      <c r="K34" s="1152" t="str">
        <f ca="1">Taal04!$B$26&amp;" F"</f>
        <v>Group F</v>
      </c>
      <c r="L34" s="1152"/>
      <c r="M34" s="17"/>
      <c r="N34" s="17"/>
      <c r="O34" s="17"/>
      <c r="P34" s="17"/>
      <c r="Q34" s="60"/>
      <c r="R34" s="17"/>
      <c r="S34" s="111">
        <f>S33+1</f>
        <v>5</v>
      </c>
      <c r="T34" s="136" t="str">
        <f ca="1">VLOOKUP(V34,Voorblad!$X$67:$Z$98,2,FALSE)</f>
        <v>France</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Austria</v>
      </c>
      <c r="AC34" s="64" t="e">
        <f>#REF!</f>
        <v>#REF!</v>
      </c>
      <c r="AD34" s="143">
        <f ca="1">IF($AC$7=1,VLOOKUP($V34,Groepswedstrijden!$AH$12:$BA$78,20,FALSE),IF($AC$11=1,VLOOKUP($V34,#REF!,20,FALSE),""))</f>
        <v>1</v>
      </c>
      <c r="AE34" s="186" t="str">
        <f ca="1">IF($AC$7=1,VLOOKUP($V34,Groepswedstrijden!$AH$12:$BA$78,3,FALSE),IF($AC$11=1,VLOOKUP($V34,#REF!,3,FALSE),""))</f>
        <v>France</v>
      </c>
      <c r="AF34" s="143">
        <f ca="1">IF($AC$7=1,VLOOKUP($V34,Groepswedstrijden!$AH$12:$BA$78,9,FALSE),IF($AC$11=1,VLOOKUP($V34,#REF!,9,FALSE),""))</f>
        <v>5</v>
      </c>
      <c r="AG34" s="143">
        <f ca="1">IF($AC$7=1,VLOOKUP($V34,Groepswedstrijden!$AH$12:$BA$78,10,FALSE),IF($AC$11=1,VLOOKUP($V34,#REF!,10,FALSE),""))</f>
        <v>5</v>
      </c>
      <c r="AH34" s="143">
        <f ca="1">IF($AC$7=1,VLOOKUP($V34,Groepswedstrijden!$AH$12:$BA$78,11,FALSE),IF($AC$11=1,VLOOKUP($V34,#REF!,11,FALSE),""))</f>
        <v>3</v>
      </c>
      <c r="AI34" s="219">
        <f ca="1">IF($AC$7=1,VLOOKUP($V34,Groepswedstrijden!$AH$12:$BA$78,19,FALSE),IF($AC$11=1,VLOOKUP($V34,#REF!,19,FALSE),""))</f>
        <v>55020503500032</v>
      </c>
      <c r="AJ34" s="224">
        <f ca="1">FLOOR(IF($AD31=4,AI31,IF($AD32=4,AI32,IF($AD33=4,AI33,AI34)))/10,1)</f>
        <v>496020350000</v>
      </c>
      <c r="AL34" s="1175"/>
      <c r="AM34" s="342" t="str">
        <f ca="1">IF(AJ34=AJ33,"","4.")</f>
        <v>4.</v>
      </c>
      <c r="AN34" s="343" t="str">
        <f ca="1">IF($AD31=4,AE31,IF($AD32=4,AE32,IF($AD33=4,AE33,AE34)))</f>
        <v>Austria</v>
      </c>
      <c r="AO34" s="344">
        <f ca="1">IF($AD31=4,AF31,IF($AD32=4,AF32,IF($AD33=4,AF33,AF34)))</f>
        <v>0</v>
      </c>
      <c r="AP34" s="344">
        <f ca="1">IF($AD31=4,AG31,IF($AD32=4,AG32,IF($AD33=4,AG33,AG34)))</f>
        <v>2</v>
      </c>
      <c r="AQ34" s="344">
        <f ca="1">IF($AD31=4,AH31,IF($AD32=4,AH32,IF($AD33=4,AH33,AH34)))</f>
        <v>6</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SK.BE.UA.RO|</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GROUP E</v>
      </c>
      <c r="AC35" s="263" t="str">
        <f ca="1">AB35</f>
        <v>GROUP E</v>
      </c>
      <c r="AD35" s="143"/>
      <c r="AE35" s="187" t="str">
        <f ca="1">AB35</f>
        <v>GROUP E</v>
      </c>
      <c r="AF35" s="143"/>
      <c r="AG35" s="143"/>
      <c r="AH35" s="143"/>
      <c r="AI35" s="219"/>
      <c r="AJ35" s="223"/>
      <c r="AL35" s="602" t="str">
        <f>IF(AH7="JA","","└ "&amp;SUBSTITUTE(Taal04!B62,"#",RIGHT(AL31,1)))</f>
        <v/>
      </c>
    </row>
    <row r="36" spans="1:43" ht="15" customHeight="1" x14ac:dyDescent="0.25">
      <c r="B36" s="17"/>
      <c r="C36" s="949"/>
      <c r="D36" s="335" t="s">
        <v>212</v>
      </c>
      <c r="E36" s="820" t="s">
        <v>2199</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Belgium</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3</v>
      </c>
      <c r="Z36" s="144">
        <f>IF(ISBLANK(L36),1,IF(SUBSTITUTE(W41,L36,"#")&lt;&gt;W41,2,IF(SUBSTITUTE(W42,L36,"#")&lt;&gt;W42,3,IF(SUBSTITUTE(W43,L36,"#")&lt;&gt;W43,4,IF(SUBSTITUTE(W44,L36,"#")&lt;&gt;W44,5,6)))))</f>
        <v>4</v>
      </c>
      <c r="AA36" s="263" t="str">
        <f ca="1">RIGHT(V36,1)</f>
        <v>1</v>
      </c>
      <c r="AB36" s="265" t="str">
        <f ca="1">Groepswedstrijden!AD76</f>
        <v>Slovakia</v>
      </c>
      <c r="AC36" s="64" t="e">
        <f>#REF!</f>
        <v>#REF!</v>
      </c>
      <c r="AD36" s="143">
        <f ca="1">IF($AC$7=1,VLOOKUP($V36,Groepswedstrijden!$AH$12:$BA$78,20,FALSE),IF($AC$11=1,VLOOKUP($V36,#REF!,20,FALSE),""))</f>
        <v>2</v>
      </c>
      <c r="AE36" s="186" t="str">
        <f ca="1">IF($AC$7=1,VLOOKUP($V36,Groepswedstrijden!$AH$12:$BA$78,3,FALSE),IF($AC$11=1,VLOOKUP($V36,#REF!,3,FALSE),""))</f>
        <v>Belgium</v>
      </c>
      <c r="AF36" s="143">
        <f ca="1">IF($AC$7=1,VLOOKUP($V36,Groepswedstrijden!$AH$12:$BA$78,9,FALSE),IF($AC$11=1,VLOOKUP($V36,#REF!,9,FALSE),""))</f>
        <v>6</v>
      </c>
      <c r="AG36" s="143">
        <f ca="1">IF($AC$7=1,VLOOKUP($V36,Groepswedstrijden!$AH$12:$BA$78,10,FALSE),IF($AC$11=1,VLOOKUP($V36,#REF!,10,FALSE),""))</f>
        <v>7</v>
      </c>
      <c r="AH36" s="143">
        <f ca="1">IF($AC$7=1,VLOOKUP($V36,Groepswedstrijden!$AH$12:$BA$78,11,FALSE),IF($AC$11=1,VLOOKUP($V36,#REF!,11,FALSE),""))</f>
        <v>6</v>
      </c>
      <c r="AI36" s="219">
        <f ca="1">IF($AC$7=1,VLOOKUP($V36,Groepswedstrijden!$AH$12:$BA$78,19,FALSE),IF($AC$11=1,VLOOKUP($V36,#REF!,19,FALSE),""))</f>
        <v>65010703500001</v>
      </c>
      <c r="AJ36" s="224">
        <f ca="1">FLOOR(IF($AD36=1,AI36,IF($AD37=1,AI37,IF($AD38=1,AI38,AI39)))/10,1)</f>
        <v>9504070350000</v>
      </c>
      <c r="AL36" s="1173" t="str">
        <f ca="1">AE35</f>
        <v>GROUP E</v>
      </c>
      <c r="AM36" s="336" t="s">
        <v>67</v>
      </c>
      <c r="AN36" s="337" t="str">
        <f ca="1">IF($AD36=1,AE36,IF($AD37=1,AE37,IF($AD38=1,AE38,AE39)))</f>
        <v>Slovakia</v>
      </c>
      <c r="AO36" s="338">
        <f ca="1">IF($AD36=1,AF36,IF($AD37=1,AF37,IF($AD38=1,AF38,AF39)))</f>
        <v>9</v>
      </c>
      <c r="AP36" s="338">
        <f ca="1">IF($AD36=1,AG36,IF($AD37=1,AG37,IF($AD38=1,AG38,AG39)))</f>
        <v>7</v>
      </c>
      <c r="AQ36" s="338">
        <f ca="1">IF($AD36=1,AH36,IF($AD37=1,AH37,IF($AD38=1,AH38,AH39)))</f>
        <v>3</v>
      </c>
    </row>
    <row r="37" spans="1:43" ht="20.100000000000001" customHeight="1" x14ac:dyDescent="0.25">
      <c r="B37" s="17"/>
      <c r="C37" s="949"/>
      <c r="D37" s="1151" t="str">
        <f ca="1">IF($S$12=1,IF($AC$7=1,AB36,IF($AC$11=1,AC36,"")),IF(AND($S$12=2,OR($Y$37="LEEG",$Y$37="ONGELDIG")),IF($AC$7=1,AB36,IF($AC$11=1,AC36,"")),""))</f>
        <v>Slovakia</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Slovakia</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Belgium</v>
      </c>
      <c r="AC37" s="64" t="e">
        <f>#REF!</f>
        <v>#REF!</v>
      </c>
      <c r="AD37" s="143">
        <f ca="1">IF($AC$7=1,VLOOKUP($V37,Groepswedstrijden!$AH$12:$BA$78,20,FALSE),IF($AC$11=1,VLOOKUP($V37,#REF!,20,FALSE),""))</f>
        <v>1</v>
      </c>
      <c r="AE37" s="186" t="str">
        <f ca="1">IF($AC$7=1,VLOOKUP($V37,Groepswedstrijden!$AH$12:$BA$78,3,FALSE),IF($AC$11=1,VLOOKUP($V37,#REF!,3,FALSE),""))</f>
        <v>Slovakia</v>
      </c>
      <c r="AF37" s="143">
        <f ca="1">IF($AC$7=1,VLOOKUP($V37,Groepswedstrijden!$AH$12:$BA$78,9,FALSE),IF($AC$11=1,VLOOKUP($V37,#REF!,9,FALSE),""))</f>
        <v>9</v>
      </c>
      <c r="AG37" s="143">
        <f ca="1">IF($AC$7=1,VLOOKUP($V37,Groepswedstrijden!$AH$12:$BA$78,10,FALSE),IF($AC$11=1,VLOOKUP($V37,#REF!,10,FALSE),""))</f>
        <v>7</v>
      </c>
      <c r="AH37" s="143">
        <f ca="1">IF($AC$7=1,VLOOKUP($V37,Groepswedstrijden!$AH$12:$BA$78,11,FALSE),IF($AC$11=1,VLOOKUP($V37,#REF!,11,FALSE),""))</f>
        <v>3</v>
      </c>
      <c r="AI37" s="219">
        <f ca="1">IF($AC$7=1,VLOOKUP($V37,Groepswedstrijden!$AH$12:$BA$78,19,FALSE),IF($AC$11=1,VLOOKUP($V37,#REF!,19,FALSE),""))</f>
        <v>95040703500003</v>
      </c>
      <c r="AJ37" s="224">
        <f ca="1">FLOOR(IF($AD36=2,AI36,IF($AD37=2,AI37,IF($AD38=2,AI38,AI39)))/10,1)</f>
        <v>6501070350000</v>
      </c>
      <c r="AL37" s="1174"/>
      <c r="AM37" s="339" t="str">
        <f ca="1">IF(AJ37=AJ36,"","2.")</f>
        <v>2.</v>
      </c>
      <c r="AN37" s="340" t="str">
        <f ca="1">IF($AD36=2,AE36,IF($AD37=2,AE37,IF($AD38=2,AE38,AE39)))</f>
        <v>Belgium</v>
      </c>
      <c r="AO37" s="341">
        <f ca="1">IF($AD36=2,AF36,IF($AD37=2,AF37,IF($AD38=2,AF38,AF39)))</f>
        <v>6</v>
      </c>
      <c r="AP37" s="341">
        <f ca="1">IF($AD36=2,AG36,IF($AD37=2,AG37,IF($AD38=2,AG38,AG39)))</f>
        <v>7</v>
      </c>
      <c r="AQ37" s="341">
        <f ca="1">IF($AD36=2,AH36,IF($AD37=2,AH37,IF($AD38=2,AH38,AH39)))</f>
        <v>6</v>
      </c>
    </row>
    <row r="38" spans="1:43" ht="15" customHeight="1" x14ac:dyDescent="0.25">
      <c r="B38" s="17"/>
      <c r="C38" s="949"/>
      <c r="D38" s="335" t="s">
        <v>213</v>
      </c>
      <c r="E38" s="820" t="s">
        <v>574</v>
      </c>
      <c r="F38" s="587" t="str">
        <f>IF(Y39="LEEG","▼","")</f>
        <v/>
      </c>
      <c r="G38" s="17"/>
      <c r="H38" s="17"/>
      <c r="I38" s="17"/>
      <c r="J38" s="17"/>
      <c r="K38" s="335" t="s">
        <v>213</v>
      </c>
      <c r="L38" s="821" t="s">
        <v>2215</v>
      </c>
      <c r="M38" s="587" t="str">
        <f>IF(Z39="LEEG","▼","")</f>
        <v/>
      </c>
      <c r="N38" s="17"/>
      <c r="O38" s="17"/>
      <c r="P38" s="17"/>
      <c r="Q38" s="60"/>
      <c r="R38" s="17"/>
      <c r="S38" s="111">
        <f>S37+1</f>
        <v>4</v>
      </c>
      <c r="T38" s="85" t="str">
        <f ca="1">VLOOKUP(V38,Voorblad!$X$67:$Z$98,2,FALSE)</f>
        <v>Romania</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2</v>
      </c>
      <c r="Z38" s="144">
        <f>IF(ISBLANK(L38),1,IF(SUBSTITUTE(W41,L38,"#")&lt;&gt;W41,2,IF(SUBSTITUTE(W42,L38,"#")&lt;&gt;W42,3,IF(SUBSTITUTE(W43,L38,"#")&lt;&gt;W43,4,IF(SUBSTITUTE(W44,L38,"#")&lt;&gt;W44,5,6)))))</f>
        <v>5</v>
      </c>
      <c r="AA38" s="263" t="str">
        <f ca="1">RIGHT(V38,1)</f>
        <v>3</v>
      </c>
      <c r="AB38" s="265" t="str">
        <f ca="1">Groepswedstrijden!AD78</f>
        <v>Romania / Ukraine</v>
      </c>
      <c r="AC38" s="64" t="e">
        <f>#REF!</f>
        <v>#REF!</v>
      </c>
      <c r="AD38" s="143">
        <f ca="1">IF($AC$7=1,VLOOKUP($V38,Groepswedstrijden!$AH$12:$BA$78,20,FALSE),IF($AC$11=1,VLOOKUP($V38,#REF!,20,FALSE),""))</f>
        <v>4</v>
      </c>
      <c r="AE38" s="186" t="str">
        <f ca="1">IF($AC$7=1,VLOOKUP($V38,Groepswedstrijden!$AH$12:$BA$78,3,FALSE),IF($AC$11=1,VLOOKUP($V38,#REF!,3,FALSE),""))</f>
        <v>Romania</v>
      </c>
      <c r="AF38" s="143">
        <f ca="1">IF($AC$7=1,VLOOKUP($V38,Groepswedstrijden!$AH$12:$BA$78,9,FALSE),IF($AC$11=1,VLOOKUP($V38,#REF!,9,FALSE),""))</f>
        <v>1</v>
      </c>
      <c r="AG38" s="143">
        <f ca="1">IF($AC$7=1,VLOOKUP($V38,Groepswedstrijden!$AH$12:$BA$78,10,FALSE),IF($AC$11=1,VLOOKUP($V38,#REF!,10,FALSE),""))</f>
        <v>2</v>
      </c>
      <c r="AH38" s="143">
        <f ca="1">IF($AC$7=1,VLOOKUP($V38,Groepswedstrijden!$AH$12:$BA$78,11,FALSE),IF($AC$11=1,VLOOKUP($V38,#REF!,11,FALSE),""))</f>
        <v>5</v>
      </c>
      <c r="AI38" s="219">
        <f ca="1">IF($AC$7=1,VLOOKUP($V38,Groepswedstrijden!$AH$12:$BA$78,19,FALSE),IF($AC$11=1,VLOOKUP($V38,#REF!,19,FALSE),""))</f>
        <v>14970203500012</v>
      </c>
      <c r="AJ38" s="224">
        <f ca="1">FLOOR(IF($AD36=3,AI36,IF($AD37=3,AI37,IF($AD38=3,AI38,AI39)))/10,1)</f>
        <v>1498040350001</v>
      </c>
      <c r="AL38" s="1174"/>
      <c r="AM38" s="339" t="str">
        <f ca="1">IF(AJ38=AJ37,"","3.")</f>
        <v>3.</v>
      </c>
      <c r="AN38" s="340" t="str">
        <f ca="1">IF($AD36=3,AE36,IF($AD37=3,AE37,IF($AD38=3,AE38,AE39)))</f>
        <v>Ukraine</v>
      </c>
      <c r="AO38" s="341">
        <f ca="1">IF($AD36=3,AF36,IF($AD37=3,AF37,IF($AD38=3,AF38,AF39)))</f>
        <v>1</v>
      </c>
      <c r="AP38" s="341">
        <f ca="1">IF($AD36=3,AG36,IF($AD37=3,AG37,IF($AD38=3,AG38,AG39)))</f>
        <v>4</v>
      </c>
      <c r="AQ38" s="341">
        <f ca="1">IF($AD36=3,AH36,IF($AD37=3,AH37,IF($AD38=3,AH38,AH39)))</f>
        <v>6</v>
      </c>
    </row>
    <row r="39" spans="1:43" ht="20.100000000000001" customHeight="1" x14ac:dyDescent="0.25">
      <c r="B39" s="17"/>
      <c r="C39" s="949"/>
      <c r="D39" s="1151" t="str">
        <f ca="1">IF($S$12=1,IF($AC$7=1,AB37,IF($AC$11=1,AC37,"")),IF(AND($S$12=2,OR($Y$39="LEEG",$Y$39="ONGELDIG")),IF($AC$7=1,AB37,IF($AC$11=1,AC37,"")),""))</f>
        <v>Belgium</v>
      </c>
      <c r="E39" s="1151"/>
      <c r="F39" s="1151"/>
      <c r="G39" s="1151"/>
      <c r="H39" s="1151"/>
      <c r="I39" s="1151"/>
      <c r="J39" s="17"/>
      <c r="K39" s="1151" t="str">
        <f ca="1">IF($S$12=1,IF($AC$7=1,AB42,IF($AC$11=1,AC42,"")),IF(AND($S$12=2,OR($Z$39="LEEG",$Z$39="ONGELDIG")),IF($AC$7=1,AB42,IF($AC$11=1,AC42,"")),""))</f>
        <v>Czech Republic</v>
      </c>
      <c r="L39" s="1151"/>
      <c r="M39" s="1151"/>
      <c r="N39" s="1151"/>
      <c r="O39" s="1151"/>
      <c r="P39" s="1151"/>
      <c r="Q39" s="60"/>
      <c r="R39" s="17"/>
      <c r="S39" s="111">
        <f>S38+1</f>
        <v>5</v>
      </c>
      <c r="T39" s="136" t="str">
        <f ca="1">VLOOKUP(V39,Voorblad!$X$67:$Z$98,2,FALSE)</f>
        <v>Ukraine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Romania / Ukraine</v>
      </c>
      <c r="AC39" s="64" t="e">
        <f>#REF!</f>
        <v>#REF!</v>
      </c>
      <c r="AD39" s="143">
        <f ca="1">IF($AC$7=1,VLOOKUP($V39,Groepswedstrijden!$AH$12:$BA$78,20,FALSE),IF($AC$11=1,VLOOKUP($V39,#REF!,20,FALSE),""))</f>
        <v>3</v>
      </c>
      <c r="AE39" s="186" t="str">
        <f ca="1">IF($AC$7=1,VLOOKUP($V39,Groepswedstrijden!$AH$12:$BA$78,3,FALSE),IF($AC$11=1,VLOOKUP($V39,#REF!,3,FALSE),""))</f>
        <v>Ukraine</v>
      </c>
      <c r="AF39" s="143">
        <f ca="1">IF($AC$7=1,VLOOKUP($V39,Groepswedstrijden!$AH$12:$BA$78,9,FALSE),IF($AC$11=1,VLOOKUP($V39,#REF!,9,FALSE),""))</f>
        <v>1</v>
      </c>
      <c r="AG39" s="143">
        <f ca="1">IF($AC$7=1,VLOOKUP($V39,Groepswedstrijden!$AH$12:$BA$78,10,FALSE),IF($AC$11=1,VLOOKUP($V39,#REF!,10,FALSE),""))</f>
        <v>4</v>
      </c>
      <c r="AH39" s="143">
        <f ca="1">IF($AC$7=1,VLOOKUP($V39,Groepswedstrijden!$AH$12:$BA$78,11,FALSE),IF($AC$11=1,VLOOKUP($V39,#REF!,11,FALSE),""))</f>
        <v>6</v>
      </c>
      <c r="AI39" s="219">
        <f ca="1">IF($AC$7=1,VLOOKUP($V39,Groepswedstrijden!$AH$12:$BA$78,19,FALSE),IF($AC$11=1,VLOOKUP($V39,#REF!,19,FALSE),""))</f>
        <v>14980403500014</v>
      </c>
      <c r="AJ39" s="224">
        <f ca="1">FLOOR(IF($AD36=4,AI36,IF($AD37=4,AI37,IF($AD38=4,AI38,AI39)))/10,1)</f>
        <v>1497020350001</v>
      </c>
      <c r="AL39" s="1175"/>
      <c r="AM39" s="342" t="str">
        <f ca="1">IF(AJ39=AJ38,"","4.")</f>
        <v>4.</v>
      </c>
      <c r="AN39" s="343" t="str">
        <f ca="1">IF($AD36=4,AE36,IF($AD37=4,AE37,IF($AD38=4,AE38,AE39)))</f>
        <v>Romania</v>
      </c>
      <c r="AO39" s="344">
        <f ca="1">IF($AD36=4,AF36,IF($AD37=4,AF37,IF($AD38=4,AF38,AF39)))</f>
        <v>1</v>
      </c>
      <c r="AP39" s="344">
        <f ca="1">IF($AD36=4,AG36,IF($AD37=4,AG37,IF($AD38=4,AG38,AG39)))</f>
        <v>2</v>
      </c>
      <c r="AQ39" s="344">
        <f ca="1">IF($AD36=4,AH36,IF($AD37=4,AH37,IF($AD38=4,AH38,AH39)))</f>
        <v>5</v>
      </c>
    </row>
    <row r="40" spans="1:43" ht="15" customHeight="1" x14ac:dyDescent="0.25">
      <c r="B40" s="17"/>
      <c r="C40" s="949"/>
      <c r="D40" s="335" t="s">
        <v>214</v>
      </c>
      <c r="E40" s="820" t="s">
        <v>2469</v>
      </c>
      <c r="F40" s="587" t="str">
        <f>IF(Y41="LEEG","▼","")</f>
        <v/>
      </c>
      <c r="G40" s="17"/>
      <c r="H40" s="17"/>
      <c r="I40" s="17"/>
      <c r="J40" s="17"/>
      <c r="K40" s="335" t="s">
        <v>214</v>
      </c>
      <c r="L40" s="821" t="s">
        <v>2213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5</v>
      </c>
      <c r="Z40" s="144">
        <f>IF(ISBLANK(L40),1,IF(SUBSTITUTE(W41,L40,"#")&lt;&gt;W41,2,IF(SUBSTITUTE(W42,L40,"#")&lt;&gt;W42,3,IF(SUBSTITUTE(W43,L40,"#")&lt;&gt;W43,4,IF(SUBSTITUTE(W44,L40,"#")&lt;&gt;W44,5,6)))))</f>
        <v>2</v>
      </c>
      <c r="AA40" s="64"/>
      <c r="AB40" s="264" t="str">
        <f ca="1">UPPER(Taal04!$B$26)&amp;" "&amp;V40</f>
        <v>GROUP F</v>
      </c>
      <c r="AC40" s="263" t="str">
        <f ca="1">AB40</f>
        <v>GROUP F</v>
      </c>
      <c r="AD40" s="143"/>
      <c r="AE40" s="187" t="str">
        <f ca="1">AB40</f>
        <v>GROUP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Romania / Ukraine</v>
      </c>
      <c r="E41" s="1151"/>
      <c r="F41" s="1151"/>
      <c r="G41" s="1151"/>
      <c r="H41" s="1151"/>
      <c r="I41" s="1151"/>
      <c r="J41" s="17"/>
      <c r="K41" s="1151" t="str">
        <f ca="1">IF($S$12=1,IF($AC$7=1,AB43,IF($AC$11=1,AC43,"")),IF(AND($S$12=2,OR($Z$41="LEEG",$Z$41="ONGELDIG")),IF($AC$7=1,AB43,IF($AC$11=1,AC43,"")),""))</f>
        <v>Turkey</v>
      </c>
      <c r="L41" s="1151"/>
      <c r="M41" s="1151"/>
      <c r="N41" s="1151"/>
      <c r="O41" s="1151"/>
      <c r="P41" s="1151"/>
      <c r="Q41" s="60"/>
      <c r="R41" s="17"/>
      <c r="S41" s="111">
        <f>S40+1</f>
        <v>2</v>
      </c>
      <c r="T41" s="85" t="str">
        <f ca="1">VLOOKUP(V41,Voorblad!$X$67:$Z$98,2,FALSE)</f>
        <v>Turkey</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Turkey</v>
      </c>
      <c r="AF41" s="143">
        <f ca="1">IF($AC$7=1,VLOOKUP($V41,Groepswedstrijden!$AH$12:$BA$78,9,FALSE),IF($AC$11=1,VLOOKUP($V41,#REF!,9,FALSE),""))</f>
        <v>3</v>
      </c>
      <c r="AG41" s="143">
        <f ca="1">IF($AC$7=1,VLOOKUP($V41,Groepswedstrijden!$AH$12:$BA$78,10,FALSE),IF($AC$11=1,VLOOKUP($V41,#REF!,10,FALSE),""))</f>
        <v>3</v>
      </c>
      <c r="AH41" s="143">
        <f ca="1">IF($AC$7=1,VLOOKUP($V41,Groepswedstrijden!$AH$12:$BA$78,11,FALSE),IF($AC$11=1,VLOOKUP($V41,#REF!,11,FALSE),""))</f>
        <v>4</v>
      </c>
      <c r="AI41" s="219">
        <f ca="1">IF($AC$7=1,VLOOKUP($V41,Groepswedstrijden!$AH$12:$BA$78,19,FALSE),IF($AC$11=1,VLOOKUP($V41,#REF!,19,FALSE),""))</f>
        <v>34990303500004</v>
      </c>
      <c r="AJ41" s="224">
        <f ca="1">FLOOR(IF($AD41=1,AI41,IF($AD42=1,AI42,IF($AD43=1,AI43,AI44)))/10,1)</f>
        <v>9504060350000</v>
      </c>
      <c r="AL41" s="1173" t="str">
        <f ca="1">AE40</f>
        <v>GROUP F</v>
      </c>
      <c r="AM41" s="336" t="s">
        <v>67</v>
      </c>
      <c r="AN41" s="337" t="str">
        <f ca="1">IF($AD41=1,AE41,IF($AD42=1,AE42,IF($AD43=1,AE43,AE44)))</f>
        <v>Portugal</v>
      </c>
      <c r="AO41" s="338">
        <f ca="1">IF($AD41=1,AF41,IF($AD42=1,AF42,IF($AD43=1,AF43,AF44)))</f>
        <v>9</v>
      </c>
      <c r="AP41" s="338">
        <f ca="1">IF($AD41=1,AG41,IF($AD42=1,AG42,IF($AD43=1,AG43,AG44)))</f>
        <v>6</v>
      </c>
      <c r="AQ41" s="338">
        <f ca="1">IF($AD41=1,AH41,IF($AD42=1,AH42,IF($AD43=1,AH43,AH44)))</f>
        <v>2</v>
      </c>
    </row>
    <row r="42" spans="1:43" ht="15" customHeight="1" x14ac:dyDescent="0.25">
      <c r="B42" s="17"/>
      <c r="C42" s="949"/>
      <c r="D42" s="335" t="s">
        <v>215</v>
      </c>
      <c r="E42" s="820" t="s">
        <v>2201</v>
      </c>
      <c r="F42" s="587" t="str">
        <f>IF(Y43="LEEG","▼","")</f>
        <v/>
      </c>
      <c r="G42" s="17"/>
      <c r="H42" s="17"/>
      <c r="I42" s="17"/>
      <c r="J42" s="17"/>
      <c r="K42" s="335" t="s">
        <v>215</v>
      </c>
      <c r="L42" s="821" t="s">
        <v>2471</v>
      </c>
      <c r="M42" s="587" t="str">
        <f>IF(Z43="LEEG","▼","")</f>
        <v/>
      </c>
      <c r="N42" s="17"/>
      <c r="O42" s="17"/>
      <c r="P42" s="17"/>
      <c r="Q42" s="60"/>
      <c r="R42" s="17"/>
      <c r="S42" s="111">
        <f>S41+1</f>
        <v>3</v>
      </c>
      <c r="T42" s="85" t="str">
        <f ca="1">VLOOKUP(V42,Voorblad!$X$67:$Z$98,2,FALSE)</f>
        <v>Georgia</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Czech Republic</v>
      </c>
      <c r="AC42" s="64" t="e">
        <f>#REF!</f>
        <v>#REF!</v>
      </c>
      <c r="AD42" s="143">
        <f ca="1">IF($AC$7=1,VLOOKUP($V42,Groepswedstrijden!$AH$12:$BA$78,20,FALSE),IF($AC$11=1,VLOOKUP($V42,#REF!,20,FALSE),""))</f>
        <v>4</v>
      </c>
      <c r="AE42" s="186" t="str">
        <f ca="1">IF($AC$7=1,VLOOKUP($V42,Groepswedstrijden!$AH$12:$BA$78,3,FALSE),IF($AC$11=1,VLOOKUP($V42,#REF!,3,FALSE),""))</f>
        <v>Georgia</v>
      </c>
      <c r="AF42" s="143">
        <f ca="1">IF($AC$7=1,VLOOKUP($V42,Groepswedstrijden!$AH$12:$BA$78,9,FALSE),IF($AC$11=1,VLOOKUP($V42,#REF!,9,FALSE),""))</f>
        <v>1</v>
      </c>
      <c r="AG42" s="143">
        <f ca="1">IF($AC$7=1,VLOOKUP($V42,Groepswedstrijden!$AH$12:$BA$78,10,FALSE),IF($AC$11=1,VLOOKUP($V42,#REF!,10,FALSE),""))</f>
        <v>1</v>
      </c>
      <c r="AH42" s="143">
        <f ca="1">IF($AC$7=1,VLOOKUP($V42,Groepswedstrijden!$AH$12:$BA$78,11,FALSE),IF($AC$11=1,VLOOKUP($V42,#REF!,11,FALSE),""))</f>
        <v>4</v>
      </c>
      <c r="AI42" s="219">
        <f ca="1">IF($AC$7=1,VLOOKUP($V42,Groepswedstrijden!$AH$12:$BA$78,19,FALSE),IF($AC$11=1,VLOOKUP($V42,#REF!,19,FALSE),""))</f>
        <v>14970103500002</v>
      </c>
      <c r="AJ42" s="224">
        <f ca="1">FLOOR(IF($AD41=2,AI41,IF($AD42=2,AI42,IF($AD43=2,AI43,AI44)))/10,1)</f>
        <v>4500020350000</v>
      </c>
      <c r="AL42" s="1174"/>
      <c r="AM42" s="339" t="str">
        <f ca="1">IF(AJ42=AJ41,"","2.")</f>
        <v>2.</v>
      </c>
      <c r="AN42" s="340" t="str">
        <f ca="1">IF($AD41=2,AE41,IF($AD42=2,AE42,IF($AD43=2,AE43,AE44)))</f>
        <v>Czech Republic</v>
      </c>
      <c r="AO42" s="341">
        <f ca="1">IF($AD41=2,AF41,IF($AD42=2,AF42,IF($AD43=2,AF43,AF44)))</f>
        <v>4</v>
      </c>
      <c r="AP42" s="341">
        <f ca="1">IF($AD41=2,AG41,IF($AD42=2,AG42,IF($AD43=2,AG43,AG44)))</f>
        <v>2</v>
      </c>
      <c r="AQ42" s="341">
        <f ca="1">IF($AD41=2,AH41,IF($AD42=2,AH42,IF($AD43=2,AH43,AH44)))</f>
        <v>2</v>
      </c>
    </row>
    <row r="43" spans="1:43" ht="20.100000000000001" customHeight="1" x14ac:dyDescent="0.25">
      <c r="B43" s="17"/>
      <c r="C43" s="949"/>
      <c r="D43" s="1151" t="str">
        <f ca="1">IF($S$12=1,IF($AC$7=1,AB39,IF($AC$11=1,AC39,"")),IF(AND($S$12=2,OR($Y$43="LEEG",$Y$43="ONGELDIG")),IF($AC$7=1,AB39,IF($AC$11=1,AC39,"")),""))</f>
        <v>Romania / Ukraine</v>
      </c>
      <c r="E43" s="1151"/>
      <c r="F43" s="1151"/>
      <c r="G43" s="1151"/>
      <c r="H43" s="1151"/>
      <c r="I43" s="1151"/>
      <c r="J43" s="17"/>
      <c r="K43" s="1151" t="str">
        <f ca="1">IF($S$12=1,IF($AC$7=1,AB44,IF($AC$11=1,AC44,"")),IF(AND($S$12=2,OR($Z$43="LEEG",$Z$43="ONGELDIG")),IF($AC$7=1,AB44,IF($AC$11=1,AC44,"")),""))</f>
        <v>Georgia</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Turkey</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6</v>
      </c>
      <c r="AH43" s="143">
        <f ca="1">IF($AC$7=1,VLOOKUP($V43,Groepswedstrijden!$AH$12:$BA$78,11,FALSE),IF($AC$11=1,VLOOKUP($V43,#REF!,11,FALSE),""))</f>
        <v>2</v>
      </c>
      <c r="AI43" s="219">
        <f ca="1">IF($AC$7=1,VLOOKUP($V43,Groepswedstrijden!$AH$12:$BA$78,19,FALSE),IF($AC$11=1,VLOOKUP($V43,#REF!,19,FALSE),""))</f>
        <v>95040603500003</v>
      </c>
      <c r="AJ43" s="224">
        <f ca="1">FLOOR(IF($AD41=3,AI41,IF($AD42=3,AI42,IF($AD43=3,AI43,AI44)))/10,1)</f>
        <v>3499030350000</v>
      </c>
      <c r="AL43" s="1174"/>
      <c r="AM43" s="339" t="str">
        <f ca="1">IF(AJ43=AJ42,"","3.")</f>
        <v>3.</v>
      </c>
      <c r="AN43" s="340" t="str">
        <f ca="1">IF($AD41=3,AE41,IF($AD42=3,AE42,IF($AD43=3,AE43,AE44)))</f>
        <v>Turkey</v>
      </c>
      <c r="AO43" s="341">
        <f ca="1">IF($AD41=3,AF41,IF($AD42=3,AF42,IF($AD43=3,AF43,AF44)))</f>
        <v>3</v>
      </c>
      <c r="AP43" s="341">
        <f ca="1">IF($AD41=3,AG41,IF($AD42=3,AG42,IF($AD43=3,AG43,AG44)))</f>
        <v>3</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Czech Republic</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Georgia</v>
      </c>
      <c r="AC44" s="64" t="e">
        <f>#REF!</f>
        <v>#REF!</v>
      </c>
      <c r="AD44" s="143">
        <f ca="1">IF($AC$7=1,VLOOKUP($V44,Groepswedstrijden!$AH$12:$BA$78,20,FALSE),IF($AC$11=1,VLOOKUP($V44,#REF!,20,FALSE),""))</f>
        <v>2</v>
      </c>
      <c r="AE44" s="186" t="str">
        <f ca="1">IF($AC$7=1,VLOOKUP($V44,Groepswedstrijden!$AH$12:$BA$78,3,FALSE),IF($AC$11=1,VLOOKUP($V44,#REF!,3,FALSE),""))</f>
        <v>Czech Republic</v>
      </c>
      <c r="AF44" s="143">
        <f ca="1">IF($AC$7=1,VLOOKUP($V44,Groepswedstrijden!$AH$12:$BA$78,9,FALSE),IF($AC$11=1,VLOOKUP($V44,#REF!,9,FALSE),""))</f>
        <v>4</v>
      </c>
      <c r="AG44" s="143">
        <f ca="1">IF($AC$7=1,VLOOKUP($V44,Groepswedstrijden!$AH$12:$BA$78,10,FALSE),IF($AC$11=1,VLOOKUP($V44,#REF!,10,FALSE),""))</f>
        <v>2</v>
      </c>
      <c r="AH44" s="143">
        <f ca="1">IF($AC$7=1,VLOOKUP($V44,Groepswedstrijden!$AH$12:$BA$78,11,FALSE),IF($AC$11=1,VLOOKUP($V44,#REF!,11,FALSE),""))</f>
        <v>2</v>
      </c>
      <c r="AI44" s="219">
        <f ca="1">IF($AC$7=1,VLOOKUP($V44,Groepswedstrijden!$AH$12:$BA$78,19,FALSE),IF($AC$11=1,VLOOKUP($V44,#REF!,19,FALSE),""))</f>
        <v>45000203500001</v>
      </c>
      <c r="AJ44" s="224">
        <f ca="1">FLOOR(IF($AD41=4,AI41,IF($AD42=4,AI42,IF($AD43=4,AI43,AI44)))/10,1)</f>
        <v>1497010350000</v>
      </c>
      <c r="AL44" s="1175"/>
      <c r="AM44" s="342" t="str">
        <f ca="1">IF(AJ44=AJ43,"","4.")</f>
        <v>4.</v>
      </c>
      <c r="AN44" s="343" t="str">
        <f ca="1">IF($AD41=4,AE41,IF($AD42=4,AE42,IF($AD43=4,AE43,AE44)))</f>
        <v>Georgia</v>
      </c>
      <c r="AO44" s="344">
        <f ca="1">IF($AD41=4,AF41,IF($AD42=4,AF42,IF($AD43=4,AF43,AF44)))</f>
        <v>1</v>
      </c>
      <c r="AP44" s="344">
        <f ca="1">IF($AD41=4,AG41,IF($AD42=4,AG42,IF($AD43=4,AG43,AG44)))</f>
        <v>1</v>
      </c>
      <c r="AQ44" s="344">
        <f ca="1">IF($AD41=4,AH41,IF($AD42=4,AH42,IF($AD43=4,AH43,AH44)))</f>
        <v>4</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GROUP G</v>
      </c>
      <c r="AC45" s="480" t="str">
        <f ca="1">AB45</f>
        <v>GROUP G</v>
      </c>
      <c r="AD45" s="481"/>
      <c r="AE45" s="482" t="str">
        <f ca="1">AB45</f>
        <v>GROUP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GROUP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GROUP H</v>
      </c>
      <c r="AC50" s="480" t="str">
        <f ca="1">AB50</f>
        <v>GROUP H</v>
      </c>
      <c r="AD50" s="481"/>
      <c r="AE50" s="482" t="str">
        <f ca="1">AB50</f>
        <v>GROUP H</v>
      </c>
      <c r="AF50" s="481"/>
      <c r="AG50" s="481"/>
      <c r="AH50" s="481"/>
      <c r="AI50" s="483"/>
      <c r="AJ50" s="484"/>
      <c r="AL50" s="602" t="str">
        <f ca="1">IF(AF9="JA","","└ "&amp;SUBSTITUTE(Taal04!B62,"#",RIGHT(AL46,1)))</f>
        <v>└ NOTE: not all matches in group G contain a prediction.</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GROUP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Points</v>
      </c>
      <c r="AP56" s="1167" t="str">
        <f ca="1">AP9</f>
        <v>Goals for</v>
      </c>
      <c r="AQ56" s="1167" t="str">
        <f ca="1">AQ9</f>
        <v>Goals against</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DE.HU.CH.SC|ES.IT.HR.AL|GB.DK.RS.SI|NL.FR.PL.AT|SK.BE.UA.RO|PT.CZ.TR.GE|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Johan Hendriks</cp:lastModifiedBy>
  <cp:lastPrinted>2024-03-13T21:09:19Z</cp:lastPrinted>
  <dcterms:created xsi:type="dcterms:W3CDTF">2008-04-11T17:46:19Z</dcterms:created>
  <dcterms:modified xsi:type="dcterms:W3CDTF">2024-06-14T12:35:52Z</dcterms:modified>
</cp:coreProperties>
</file>